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KiomhYk6Kve/atr4CnxhMPOHoagmTeYnM/GloJF8tGH+uGCMdAzfO2RGhbo7ITckLEzbZK/PcNE/uo72ZrVaQ==" workbookSaltValue="nDU9vkmg2WtczLacab0x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R8" i="9"/>
  <c r="X12" i="21" s="1"/>
  <c r="R17" i="14"/>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M18" i="2"/>
  <c r="AN12" i="11"/>
  <c r="H13" i="12"/>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X12" i="17"/>
  <c r="L10" i="2"/>
  <c r="AA10" i="16"/>
  <c r="S15" i="17"/>
  <c r="L12" i="2"/>
  <c r="L16" i="2"/>
  <c r="U9" i="17"/>
  <c r="U19" i="17" s="1"/>
  <c r="V10" i="16"/>
  <c r="V9" i="16"/>
  <c r="BF15" i="13"/>
  <c r="BG15" i="13"/>
  <c r="BA18" i="13"/>
  <c r="BE15" i="13"/>
  <c r="BF16" i="13"/>
  <c r="W20" i="20"/>
  <c r="M20" i="20"/>
  <c r="AV20" i="20"/>
  <c r="AP20" i="20"/>
  <c r="AA20" i="20"/>
  <c r="C18" i="7" l="1"/>
  <c r="F15" i="17"/>
  <c r="AQ15" i="17" s="1"/>
  <c r="G18" i="12"/>
  <c r="T19" i="8"/>
  <c r="BG15" i="8"/>
  <c r="BD9" i="8"/>
  <c r="H9" i="7" s="1"/>
  <c r="BE9" i="8"/>
  <c r="K12" i="7"/>
  <c r="E12" i="6"/>
  <c r="AO12" i="11"/>
  <c r="AM11" i="11"/>
  <c r="AO17" i="11"/>
  <c r="I9" i="7"/>
  <c r="AO9"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K15" i="12" l="1"/>
  <c r="I9" i="12"/>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<sst xmlns="http://schemas.openxmlformats.org/spreadsheetml/2006/main" count="2102" uniqueCount="916">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</sst>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95wx+h7yB/jPDRdyJmuBR3ZNJvpUIIhn5LCl1EJixgRtofWdTqQnagZjF6UPFAOqhIz2Cba3jMbRKhMgu8akQ==" saltValue="nkqU0b1Mpg6ZLB2tG8cq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28.364716636197439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179</v>
      </c>
      <c r="D10" s="225">
        <f>IF(ISNUMBER(Datos!I10),Datos!I10," - ")</f>
        <v>179</v>
      </c>
      <c r="E10" s="226">
        <f>IF(ISNUMBER(Datos!J10),Datos!J10," - ")</f>
        <v>29</v>
      </c>
      <c r="F10" s="226">
        <f>IF(ISNUMBER(Datos!K10),Datos!K10," - ")</f>
        <v>40</v>
      </c>
      <c r="G10" s="1034" t="str">
        <f>IF(Datos!E10&lt;&gt;"",Datos!E10,Datos!D10)</f>
        <v>37</v>
      </c>
      <c r="H10" s="227">
        <f>IF(ISNUMBER(Datos!L10),Datos!L10," - ")</f>
        <v>168</v>
      </c>
      <c r="I10" s="1044" t="str">
        <f>IF(ISNUMBER(Datos!AS10/Datos!BM10),Datos!AS10/Datos!BM10," - ")</f>
        <v xml:space="preserve"> - </v>
      </c>
      <c r="J10" s="1045">
        <f>IF(ISNUMBER(Datos!BY10/Datos!CN10),Datos!BY10/Datos!CN10," - ")</f>
        <v>0</v>
      </c>
      <c r="K10" s="230">
        <f t="shared" ref="K10:K12" si="1">IF(ISNUMBER((E10-F10)/C10),(E10-F10)/C10," - ")</f>
        <v>-6.1452513966480445E-2</v>
      </c>
      <c r="L10" s="1025">
        <f>IF(ISNUMBER(NºAsuntos!I10/NºAsuntos!G10),(NºAsuntos!I10/NºAsuntos!G10)*11," - ")</f>
        <v>46.2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179</v>
      </c>
      <c r="D13" s="1049">
        <f>SUBTOTAL(9,D9:D12)</f>
        <v>179</v>
      </c>
      <c r="E13" s="1050">
        <f>SUBTOTAL(9,E9:E12)</f>
        <v>29</v>
      </c>
      <c r="F13" s="1051">
        <f>SUBTOTAL(9,F9:F12)</f>
        <v>40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2513</v>
      </c>
      <c r="D15" s="225">
        <f>IF(ISNUMBER(IF(D_I="SI",Datos!I15,Datos!I15+Datos!AC15)),IF(D_I="SI",Datos!I15,Datos!I15+Datos!AC15)," - ")</f>
        <v>2486</v>
      </c>
      <c r="E15" s="226">
        <f>IF(ISNUMBER(IF(D_I="SI",Datos!J15,Datos!J15+Datos!AD15)),IF(D_I="SI",Datos!J15,Datos!J15+Datos!AD15)," - ")</f>
        <v>3223</v>
      </c>
      <c r="F15" s="226">
        <f>IF(ISNUMBER(IF(D_I="SI",Datos!K15,Datos!K15+Datos!AE15)),IF(D_I="SI",Datos!K15,Datos!K15+Datos!AE15)," - ")</f>
        <v>3332</v>
      </c>
      <c r="G15" s="1034" t="str">
        <f>IF(Datos!E15&lt;&gt;"",Datos!E15,Datos!D15)</f>
        <v>03</v>
      </c>
      <c r="H15" s="227">
        <f>IF(ISNUMBER(IF(D_I="SI",Datos!L15,Datos!L15+Datos!AF15)),IF(D_I="SI",Datos!L15,Datos!L15+Datos!AF15)," - ")</f>
        <v>2404</v>
      </c>
      <c r="I15" s="1044" t="str">
        <f>IF(ISNUMBER(Datos!AS15/Datos!BM15),Datos!AS15/Datos!BM15," - ")</f>
        <v xml:space="preserve"> - </v>
      </c>
      <c r="J15" s="1045">
        <f>IF(ISNUMBER(Datos!BY15/Datos!CN15),Datos!BY15/Datos!CN15," - ")</f>
        <v>0</v>
      </c>
      <c r="K15" s="230">
        <f t="shared" ref="K15:K17" si="3">IF(ISNUMBER((E15-F15)/C15),(E15-F15)/C15," - ")</f>
        <v>-4.3374452845204935E-2</v>
      </c>
      <c r="L15" s="1025">
        <f>IF(ISNUMBER(NºAsuntos!I15/NºAsuntos!G15),(NºAsuntos!I15/NºAsuntos!G15)*11," - ")</f>
        <v>7.9363745498199272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416</v>
      </c>
      <c r="D17" s="225">
        <f>IF(ISNUMBER(IF(D_I="SI",Datos!I17,Datos!I17+Datos!AC17)),IF(D_I="SI",Datos!I17,Datos!I17+Datos!AC17)," - ")</f>
        <v>415</v>
      </c>
      <c r="E17" s="226">
        <f>IF(ISNUMBER(IF(D_I="SI",Datos!J17,Datos!J17+Datos!AD17)),IF(D_I="SI",Datos!J17,Datos!J17+Datos!AD17)," - ")</f>
        <v>75</v>
      </c>
      <c r="F17" s="226">
        <f>IF(ISNUMBER(IF(D_I="SI",Datos!K17,Datos!K17+Datos!AE17)),IF(D_I="SI",Datos!K17,Datos!K17+Datos!AE17)," - ")</f>
        <v>182</v>
      </c>
      <c r="G17" s="1034" t="str">
        <f>IF(Datos!E17&lt;&gt;"",Datos!E17,Datos!D17)</f>
        <v>37</v>
      </c>
      <c r="H17" s="227">
        <f>IF(ISNUMBER(IF(D_I="SI",Datos!L17,Datos!L17+Datos!AF17)),IF(D_I="SI",Datos!L17,Datos!L17+Datos!AF17)," - ")</f>
        <v>309</v>
      </c>
      <c r="I17" s="1044" t="str">
        <f>IF(ISNUMBER(Datos!AS17/Datos!BM17),Datos!AS17/Datos!BM17," - ")</f>
        <v xml:space="preserve"> - </v>
      </c>
      <c r="J17" s="1045" t="str">
        <f>IF(ISNUMBER((Datos!BY17+Datos!BZ17)/Datos!CN17),(Datos!BY17+Datos!BZ17)/Datos!CN17," - ")</f>
        <v xml:space="preserve"> - </v>
      </c>
      <c r="K17" s="230">
        <f t="shared" si="3"/>
        <v>-0.25721153846153844</v>
      </c>
      <c r="L17" s="1025">
        <f>IF(ISNUMBER(NºAsuntos!I17/NºAsuntos!G17),(NºAsuntos!I17/NºAsuntos!G17)*11," - ")</f>
        <v>18.675824175824175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2929</v>
      </c>
      <c r="D18" s="1049">
        <f>SUBTOTAL(9,D15:D17)</f>
        <v>2901</v>
      </c>
      <c r="E18" s="1050">
        <f>SUBTOTAL(9,E15:E17)</f>
        <v>3298</v>
      </c>
      <c r="F18" s="1050">
        <f>SUBTOTAL(9,F15:F17)</f>
        <v>3514</v>
      </c>
      <c r="G18" s="1052" t="str">
        <f ca="1">INDIRECT(CONCATENATE("G",ROW()-1))</f>
        <v>37</v>
      </c>
      <c r="H18" s="1053">
        <f ca="1">SUMIF(G$14:G17,G18,H$14:H17)</f>
        <v>309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3108</v>
      </c>
      <c r="D19" s="1071">
        <f>SUBTOTAL(9,D9:D18)</f>
        <v>3080</v>
      </c>
      <c r="E19" s="1072">
        <f>SUBTOTAL(9,E9:E18)</f>
        <v>3327</v>
      </c>
      <c r="F19" s="1072">
        <f>SUBTOTAL(9,F9:F18)</f>
        <v>3554</v>
      </c>
      <c r="G19" s="1073"/>
      <c r="H19" s="1074">
        <f ca="1">SUMIF(B9:B18,"TOTAL",H9:H18)</f>
        <v>309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38J/LTGVktjjqTRdjK5GuOrf418rNQ65UBwFP/zQx6R6hwWXcJ3+wXj2qc0H77FSDsvfD4mFN/yYozd0CB/jaA==" saltValue="nw4u1Lk9FlF4gE8FvDQF5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qdzEGK7jgplYQh+1OagGl9lTKajsfaoflG5G3b7QabP6AxiV995PmTVWpW7Vxa1Y+q06qyisMZ84fWxPfY1Nw==" saltValue="6SEO5vImbVn69/zZyn3t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8260</v>
      </c>
      <c r="J9" s="181">
        <v>2831</v>
      </c>
      <c r="K9" s="181">
        <v>3154</v>
      </c>
      <c r="L9" s="181">
        <v>8314</v>
      </c>
      <c r="M9" s="181">
        <v>705</v>
      </c>
      <c r="N9" s="181">
        <v>1723</v>
      </c>
      <c r="O9" s="181">
        <v>1071</v>
      </c>
      <c r="P9" s="181">
        <v>523</v>
      </c>
      <c r="Q9" s="181">
        <v>326</v>
      </c>
      <c r="R9" s="181">
        <v>7179</v>
      </c>
      <c r="S9" s="181">
        <v>7236</v>
      </c>
      <c r="T9" s="181">
        <v>2528</v>
      </c>
      <c r="U9" s="181">
        <v>2211</v>
      </c>
      <c r="V9" s="181">
        <v>7553</v>
      </c>
      <c r="W9" s="181">
        <v>500</v>
      </c>
      <c r="X9" s="188">
        <v>1056</v>
      </c>
      <c r="Y9" s="191">
        <v>116</v>
      </c>
      <c r="Z9" s="181">
        <v>161</v>
      </c>
      <c r="AA9" s="181">
        <v>128</v>
      </c>
      <c r="AB9" s="181">
        <v>149</v>
      </c>
      <c r="AC9" s="181">
        <v>0</v>
      </c>
      <c r="AD9" s="181">
        <v>0</v>
      </c>
      <c r="AE9" s="181">
        <v>0</v>
      </c>
      <c r="AF9" s="188">
        <v>0</v>
      </c>
      <c r="AG9" s="191">
        <v>126</v>
      </c>
      <c r="AH9" s="181">
        <v>124</v>
      </c>
      <c r="AI9" s="181">
        <v>118</v>
      </c>
      <c r="AJ9" s="192">
        <v>132</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7362</v>
      </c>
      <c r="AZ9" s="123">
        <f>IF(ISNUMBER(IF(J_V="SI",T9,T9+AH9)),IF(J_V="SI",T9,T9+AH9)," - ")</f>
        <v>2652</v>
      </c>
      <c r="BA9" s="124">
        <f>IF(ISNUMBER(IF(J_V="SI",U9,U9+AI9)),IF(J_V="SI",U9,U9+AI9)," - ")</f>
        <v>2329</v>
      </c>
      <c r="BB9" s="124">
        <f>IF(ISNUMBER(IF(J_V="SI",V9,V9+AJ9)),IF(J_V="SI",V9,V9+AJ9)," - ")</f>
        <v>7685</v>
      </c>
      <c r="BC9" s="125">
        <f>IF(ISNUMBER(X9),X9," - ")</f>
        <v>1056</v>
      </c>
      <c r="BD9" s="126">
        <f>IF(ISNUMBER(BA9/AZ9),BA9/AZ9," - ")</f>
        <v>0.87820512820512819</v>
      </c>
      <c r="BE9" s="127">
        <f>IF(ISNUMBER(BB9/BA9),BB9/BA9, " - ")</f>
        <v>3.2996994418205237</v>
      </c>
      <c r="BF9" s="127">
        <f>IF(ISNUMBER(BC9/BA9),BC9/BA9, " - ")</f>
        <v>0.45341348218119365</v>
      </c>
      <c r="BG9" s="196">
        <f>IF(ISNUMBER((AY9+AZ9)/BA9),(AY9+AZ9)/BA9," - ")</f>
        <v>4.2996994418205237</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179</v>
      </c>
      <c r="J10" s="181">
        <v>29</v>
      </c>
      <c r="K10" s="181">
        <v>40</v>
      </c>
      <c r="L10" s="181">
        <v>168</v>
      </c>
      <c r="M10" s="181">
        <v>9</v>
      </c>
      <c r="N10" s="181">
        <v>22</v>
      </c>
      <c r="O10" s="181">
        <v>13</v>
      </c>
      <c r="P10" s="181">
        <v>7</v>
      </c>
      <c r="Q10" s="181">
        <v>8</v>
      </c>
      <c r="R10" s="181">
        <v>78</v>
      </c>
      <c r="S10" s="181">
        <v>163</v>
      </c>
      <c r="T10" s="181">
        <v>48</v>
      </c>
      <c r="U10" s="181">
        <v>14</v>
      </c>
      <c r="V10" s="181">
        <v>197</v>
      </c>
      <c r="W10" s="181">
        <v>2</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163</v>
      </c>
      <c r="AZ10" s="129">
        <f t="shared" si="0"/>
        <v>48</v>
      </c>
      <c r="BA10" s="129">
        <f t="shared" si="0"/>
        <v>14</v>
      </c>
      <c r="BB10" s="129">
        <f t="shared" si="0"/>
        <v>197</v>
      </c>
      <c r="BC10" s="125">
        <f t="shared" si="0"/>
        <v>2</v>
      </c>
      <c r="BD10" s="126">
        <f>IF(ISNUMBER(BA10/AZ10),BA10/AZ10," - ")</f>
        <v>0.29166666666666669</v>
      </c>
      <c r="BE10" s="127">
        <f>IF(ISNUMBER(BB10/BA10),BB10/BA10, " - ")</f>
        <v>14.071428571428571</v>
      </c>
      <c r="BF10" s="127">
        <f>IF(ISNUMBER(BC10/BA10),BC10/BA10, " - ")</f>
        <v>0.14285714285714285</v>
      </c>
      <c r="BG10" s="196">
        <f>IF(ISNUMBER((AY10+AZ10)/BA10),(AY10+AZ10)/BA10," - ")</f>
        <v>15.071428571428571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8439</v>
      </c>
      <c r="J13" s="184">
        <f t="shared" si="6"/>
        <v>2860</v>
      </c>
      <c r="K13" s="184">
        <f t="shared" si="6"/>
        <v>3194</v>
      </c>
      <c r="L13" s="184">
        <f t="shared" si="6"/>
        <v>8482</v>
      </c>
      <c r="M13" s="184">
        <f t="shared" si="6"/>
        <v>714</v>
      </c>
      <c r="N13" s="184">
        <f t="shared" si="6"/>
        <v>1745</v>
      </c>
      <c r="O13" s="184">
        <f t="shared" si="6"/>
        <v>1084</v>
      </c>
      <c r="P13" s="184">
        <f t="shared" si="6"/>
        <v>530</v>
      </c>
      <c r="Q13" s="184">
        <f t="shared" si="6"/>
        <v>334</v>
      </c>
      <c r="R13" s="184">
        <f t="shared" si="6"/>
        <v>7257</v>
      </c>
      <c r="S13" s="184">
        <f t="shared" si="6"/>
        <v>7399</v>
      </c>
      <c r="T13" s="184">
        <f t="shared" si="6"/>
        <v>2576</v>
      </c>
      <c r="U13" s="184">
        <f t="shared" si="6"/>
        <v>2225</v>
      </c>
      <c r="V13" s="184">
        <f t="shared" si="6"/>
        <v>7750</v>
      </c>
      <c r="W13" s="184">
        <f t="shared" si="6"/>
        <v>502</v>
      </c>
      <c r="X13" s="184">
        <f t="shared" si="6"/>
        <v>1062</v>
      </c>
      <c r="Y13" s="184">
        <f t="shared" si="6"/>
        <v>116</v>
      </c>
      <c r="Z13" s="184">
        <f t="shared" si="6"/>
        <v>161</v>
      </c>
      <c r="AA13" s="184">
        <f t="shared" si="6"/>
        <v>128</v>
      </c>
      <c r="AB13" s="184">
        <f t="shared" si="6"/>
        <v>149</v>
      </c>
      <c r="AC13" s="184">
        <f t="shared" si="6"/>
        <v>0</v>
      </c>
      <c r="AD13" s="184">
        <f t="shared" si="6"/>
        <v>0</v>
      </c>
      <c r="AE13" s="184">
        <f t="shared" si="6"/>
        <v>0</v>
      </c>
      <c r="AF13" s="184">
        <f>SUBTOTAL(9,AF9:AF12)</f>
        <v>0</v>
      </c>
      <c r="AG13" s="184">
        <f t="shared" ref="AG13:AT13" si="7">SUBTOTAL(9,AG8:AG12)</f>
        <v>126</v>
      </c>
      <c r="AH13" s="184">
        <f t="shared" si="7"/>
        <v>124</v>
      </c>
      <c r="AI13" s="184">
        <f t="shared" si="7"/>
        <v>118</v>
      </c>
      <c r="AJ13" s="184">
        <f t="shared" si="7"/>
        <v>132</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7525</v>
      </c>
      <c r="AZ13" s="184">
        <f>SUBTOTAL(9,AZ8:AZ12)</f>
        <v>2700</v>
      </c>
      <c r="BA13" s="184">
        <f>SUBTOTAL(9,BA8:BA12)</f>
        <v>2343</v>
      </c>
      <c r="BB13" s="184">
        <f>SUBTOTAL(9,BB8:BB12)</f>
        <v>7882</v>
      </c>
      <c r="BC13" s="184">
        <f>SUBTOTAL(9,BC8:BC12)</f>
        <v>1058</v>
      </c>
      <c r="BD13" s="205">
        <f>IF(ISNUMBER(BA13/AZ13),BA13/AZ13," - ")</f>
        <v>0.86777777777777776</v>
      </c>
      <c r="BE13" s="206">
        <f>IF(ISNUMBER(BB13/BA13),BB13/BA13, " - ")</f>
        <v>3.3640631668800682</v>
      </c>
      <c r="BF13" s="206">
        <f>IF(ISNUMBER(BC13/BA13),BC13/BA13, " - ")</f>
        <v>0.45155783183952197</v>
      </c>
      <c r="BG13" s="207">
        <f>IF(ISNUMBER((AY13+AZ13)/BA13),(AY13+AZ13)/BA13," - ")</f>
        <v>4.3640631668800687</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2486</v>
      </c>
      <c r="J15" s="183">
        <v>3223</v>
      </c>
      <c r="K15" s="183">
        <v>3332</v>
      </c>
      <c r="L15" s="183">
        <v>2404</v>
      </c>
      <c r="M15" s="183">
        <v>285</v>
      </c>
      <c r="N15" s="183">
        <v>2185</v>
      </c>
      <c r="O15" s="181">
        <v>26</v>
      </c>
      <c r="P15" s="183">
        <v>39</v>
      </c>
      <c r="Q15" s="183">
        <v>36</v>
      </c>
      <c r="R15" s="183">
        <v>157</v>
      </c>
      <c r="S15" s="183">
        <v>2055</v>
      </c>
      <c r="T15" s="183">
        <v>3247</v>
      </c>
      <c r="U15" s="183">
        <v>2741</v>
      </c>
      <c r="V15" s="183">
        <v>2582</v>
      </c>
      <c r="W15" s="183">
        <v>334</v>
      </c>
      <c r="X15" s="189">
        <v>1600</v>
      </c>
      <c r="Y15" s="202">
        <v>0</v>
      </c>
      <c r="Z15" s="183">
        <v>0</v>
      </c>
      <c r="AA15" s="183">
        <v>0</v>
      </c>
      <c r="AB15" s="183">
        <v>0</v>
      </c>
      <c r="AC15" s="183">
        <v>12</v>
      </c>
      <c r="AD15" s="183">
        <v>4</v>
      </c>
      <c r="AE15" s="183">
        <v>2</v>
      </c>
      <c r="AF15" s="189">
        <v>14</v>
      </c>
      <c r="AG15" s="202">
        <v>0</v>
      </c>
      <c r="AH15" s="183">
        <v>0</v>
      </c>
      <c r="AI15" s="183">
        <v>0</v>
      </c>
      <c r="AJ15" s="203">
        <v>0</v>
      </c>
      <c r="AK15" s="182">
        <v>4</v>
      </c>
      <c r="AL15" s="183">
        <v>9</v>
      </c>
      <c r="AM15" s="183">
        <v>2</v>
      </c>
      <c r="AN15" s="189">
        <v>11</v>
      </c>
      <c r="AO15" s="259">
        <v>5</v>
      </c>
      <c r="AP15" s="155">
        <v>5</v>
      </c>
      <c r="AQ15" s="155">
        <v>5</v>
      </c>
      <c r="AR15" s="155">
        <v>5</v>
      </c>
      <c r="AS15" s="340" t="s">
        <v>522</v>
      </c>
      <c r="AT15" s="203" t="s">
        <v>326</v>
      </c>
      <c r="AU15" s="202"/>
      <c r="AV15" s="203"/>
      <c r="AW15" s="202"/>
      <c r="AX15" s="203"/>
      <c r="AY15" s="128">
        <f t="shared" ref="AY15:BB16" si="9">IF(ISNUMBER(IF(D_I="SI",S15,S15+AK15)),IF(D_I="SI",S15,S15+AK15)," - ")</f>
        <v>2055</v>
      </c>
      <c r="AZ15" s="129">
        <f t="shared" si="9"/>
        <v>3247</v>
      </c>
      <c r="BA15" s="129">
        <f t="shared" si="9"/>
        <v>2741</v>
      </c>
      <c r="BB15" s="129">
        <f t="shared" si="9"/>
        <v>2582</v>
      </c>
      <c r="BC15" s="125">
        <f>IF(ISNUMBER(W15),W15," - ")</f>
        <v>334</v>
      </c>
      <c r="BD15" s="126">
        <f>IF(ISNUMBER(BA15/AZ15),BA15/AZ15," - ")</f>
        <v>0.84416384354789031</v>
      </c>
      <c r="BE15" s="127">
        <f>IF(ISNUMBER(BB15/BA15),BB15/BA15, " - ")</f>
        <v>0.94199197373221455</v>
      </c>
      <c r="BF15" s="127">
        <f>IF(ISNUMBER(BC15/BA15),BC15/BA15, " - ")</f>
        <v>0.12185333819773805</v>
      </c>
      <c r="BG15" s="196">
        <f t="shared" ref="BG15:BG16" si="10">IF(ISNUMBER((AY15+AZ15)/BA15),(AY15+AZ15)/BA15," - ")</f>
        <v>1.9343305363006202</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415</v>
      </c>
      <c r="J17" s="183">
        <v>75</v>
      </c>
      <c r="K17" s="183">
        <v>182</v>
      </c>
      <c r="L17" s="183">
        <v>309</v>
      </c>
      <c r="M17" s="183">
        <v>4</v>
      </c>
      <c r="N17" s="183">
        <v>74</v>
      </c>
      <c r="O17" s="183">
        <v>0</v>
      </c>
      <c r="P17" s="183">
        <v>4</v>
      </c>
      <c r="Q17" s="183">
        <v>2</v>
      </c>
      <c r="R17" s="183">
        <v>8</v>
      </c>
      <c r="S17" s="183">
        <v>493</v>
      </c>
      <c r="T17" s="183">
        <v>246</v>
      </c>
      <c r="U17" s="183">
        <v>223</v>
      </c>
      <c r="V17" s="183">
        <v>516</v>
      </c>
      <c r="W17" s="183">
        <v>20</v>
      </c>
      <c r="X17" s="189">
        <v>105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493</v>
      </c>
      <c r="AZ17" s="129">
        <f t="shared" si="14"/>
        <v>246</v>
      </c>
      <c r="BA17" s="129">
        <f t="shared" si="14"/>
        <v>223</v>
      </c>
      <c r="BB17" s="129">
        <f t="shared" si="14"/>
        <v>516</v>
      </c>
      <c r="BC17" s="125">
        <f>IF(ISNUMBER(W17),W17," - ")</f>
        <v>20</v>
      </c>
      <c r="BD17" s="126">
        <f>IF(ISNUMBER(BA17/AZ17),BA17/AZ17," - ")</f>
        <v>0.9065040650406504</v>
      </c>
      <c r="BE17" s="127">
        <f>IF(ISNUMBER(BB17/BA17),BB17/BA17, " - ")</f>
        <v>2.3139013452914798</v>
      </c>
      <c r="BF17" s="127">
        <f>IF(ISNUMBER(BC17/BA17),BC17/BA17, " - ")</f>
        <v>8.9686098654708515E-2</v>
      </c>
      <c r="BG17" s="196">
        <f>IF(ISNUMBER((AY17+AZ17)/BA17),(AY17+AZ17)/BA17," - ")</f>
        <v>3.3139013452914798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2901</v>
      </c>
      <c r="J18" s="184">
        <f t="shared" si="15"/>
        <v>3298</v>
      </c>
      <c r="K18" s="184">
        <f t="shared" si="15"/>
        <v>3514</v>
      </c>
      <c r="L18" s="184">
        <f t="shared" si="15"/>
        <v>2713</v>
      </c>
      <c r="M18" s="184">
        <f t="shared" si="15"/>
        <v>289</v>
      </c>
      <c r="N18" s="184">
        <f t="shared" si="15"/>
        <v>2259</v>
      </c>
      <c r="O18" s="184">
        <f t="shared" si="15"/>
        <v>26</v>
      </c>
      <c r="P18" s="184">
        <f t="shared" si="15"/>
        <v>43</v>
      </c>
      <c r="Q18" s="184">
        <f t="shared" si="15"/>
        <v>38</v>
      </c>
      <c r="R18" s="184">
        <f t="shared" si="15"/>
        <v>165</v>
      </c>
      <c r="S18" s="184">
        <f t="shared" si="15"/>
        <v>2548</v>
      </c>
      <c r="T18" s="184">
        <f t="shared" si="15"/>
        <v>3493</v>
      </c>
      <c r="U18" s="184">
        <f t="shared" si="15"/>
        <v>2964</v>
      </c>
      <c r="V18" s="184">
        <f t="shared" si="15"/>
        <v>3098</v>
      </c>
      <c r="W18" s="184">
        <f t="shared" si="15"/>
        <v>354</v>
      </c>
      <c r="X18" s="184">
        <f t="shared" si="15"/>
        <v>1705</v>
      </c>
      <c r="Y18" s="184">
        <f t="shared" si="15"/>
        <v>0</v>
      </c>
      <c r="Z18" s="184">
        <f t="shared" si="15"/>
        <v>0</v>
      </c>
      <c r="AA18" s="184">
        <f t="shared" si="15"/>
        <v>0</v>
      </c>
      <c r="AB18" s="184">
        <f t="shared" si="15"/>
        <v>0</v>
      </c>
      <c r="AC18" s="184">
        <f t="shared" si="15"/>
        <v>12</v>
      </c>
      <c r="AD18" s="184">
        <f t="shared" si="15"/>
        <v>4</v>
      </c>
      <c r="AE18" s="184">
        <f t="shared" si="15"/>
        <v>2</v>
      </c>
      <c r="AF18" s="184">
        <f t="shared" si="15"/>
        <v>14</v>
      </c>
      <c r="AG18" s="184">
        <f t="shared" si="15"/>
        <v>0</v>
      </c>
      <c r="AH18" s="184">
        <f t="shared" si="15"/>
        <v>0</v>
      </c>
      <c r="AI18" s="184">
        <f t="shared" si="15"/>
        <v>0</v>
      </c>
      <c r="AJ18" s="184">
        <f t="shared" si="15"/>
        <v>0</v>
      </c>
      <c r="AK18" s="184">
        <f t="shared" si="15"/>
        <v>4</v>
      </c>
      <c r="AL18" s="184">
        <f t="shared" si="15"/>
        <v>9</v>
      </c>
      <c r="AM18" s="184">
        <f t="shared" si="15"/>
        <v>2</v>
      </c>
      <c r="AN18" s="184">
        <f t="shared" si="15"/>
        <v>11</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2548</v>
      </c>
      <c r="AZ18" s="184">
        <f>SUBTOTAL(9,AZ14:AZ17)</f>
        <v>3493</v>
      </c>
      <c r="BA18" s="184">
        <f>SUBTOTAL(9,BA14:BA17)</f>
        <v>2964</v>
      </c>
      <c r="BB18" s="184">
        <f>SUBTOTAL(9,BB14:BB17)</f>
        <v>3098</v>
      </c>
      <c r="BC18" s="184">
        <f>SUBTOTAL(9,BC14:BC17)</f>
        <v>354</v>
      </c>
      <c r="BD18" s="205">
        <f>IF(ISNUMBER(BA18/AZ18),BA18/AZ18," - ")</f>
        <v>0.84855425135986262</v>
      </c>
      <c r="BE18" s="206">
        <f>IF(ISNUMBER(BB18/BA18),BB18/BA18, " - ")</f>
        <v>1.0452091767881242</v>
      </c>
      <c r="BF18" s="206">
        <f>IF(ISNUMBER(BC18/BA18),BC18/BA18, " - ")</f>
        <v>0.1194331983805668</v>
      </c>
      <c r="BG18" s="207">
        <f>IF(ISNUMBER((AY18+AZ18)/BA18),(AY18+AZ18)/BA18," - ")</f>
        <v>2.0381241565452091</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11340</v>
      </c>
      <c r="J19" s="134">
        <f t="shared" si="18"/>
        <v>6158</v>
      </c>
      <c r="K19" s="134">
        <f t="shared" si="18"/>
        <v>6708</v>
      </c>
      <c r="L19" s="134">
        <f t="shared" si="18"/>
        <v>11195</v>
      </c>
      <c r="M19" s="134">
        <f t="shared" si="18"/>
        <v>1003</v>
      </c>
      <c r="N19" s="134">
        <f t="shared" si="18"/>
        <v>4004</v>
      </c>
      <c r="O19" s="134">
        <f t="shared" si="18"/>
        <v>1110</v>
      </c>
      <c r="P19" s="134">
        <f t="shared" si="18"/>
        <v>573</v>
      </c>
      <c r="Q19" s="134">
        <f t="shared" si="18"/>
        <v>372</v>
      </c>
      <c r="R19" s="134">
        <f t="shared" si="18"/>
        <v>7422</v>
      </c>
      <c r="S19" s="134">
        <f t="shared" si="18"/>
        <v>9947</v>
      </c>
      <c r="T19" s="134">
        <f t="shared" si="18"/>
        <v>6069</v>
      </c>
      <c r="U19" s="134">
        <f t="shared" si="18"/>
        <v>5189</v>
      </c>
      <c r="V19" s="134">
        <f t="shared" si="18"/>
        <v>10848</v>
      </c>
      <c r="W19" s="134">
        <f t="shared" si="18"/>
        <v>856</v>
      </c>
      <c r="X19" s="134">
        <f t="shared" si="18"/>
        <v>2767</v>
      </c>
      <c r="Y19" s="134">
        <f t="shared" si="18"/>
        <v>116</v>
      </c>
      <c r="Z19" s="134">
        <f t="shared" si="18"/>
        <v>161</v>
      </c>
      <c r="AA19" s="134">
        <f t="shared" si="18"/>
        <v>128</v>
      </c>
      <c r="AB19" s="134">
        <f t="shared" si="18"/>
        <v>149</v>
      </c>
      <c r="AC19" s="134">
        <f t="shared" si="18"/>
        <v>12</v>
      </c>
      <c r="AD19" s="134">
        <f t="shared" si="18"/>
        <v>4</v>
      </c>
      <c r="AE19" s="134">
        <f t="shared" si="18"/>
        <v>2</v>
      </c>
      <c r="AF19" s="134">
        <f t="shared" si="18"/>
        <v>14</v>
      </c>
      <c r="AG19" s="134">
        <f t="shared" si="18"/>
        <v>126</v>
      </c>
      <c r="AH19" s="134">
        <f t="shared" si="18"/>
        <v>124</v>
      </c>
      <c r="AI19" s="134">
        <f t="shared" si="18"/>
        <v>118</v>
      </c>
      <c r="AJ19" s="134">
        <f t="shared" si="18"/>
        <v>132</v>
      </c>
      <c r="AK19" s="134">
        <f t="shared" si="18"/>
        <v>4</v>
      </c>
      <c r="AL19" s="134">
        <f t="shared" si="18"/>
        <v>9</v>
      </c>
      <c r="AM19" s="134">
        <f t="shared" si="18"/>
        <v>2</v>
      </c>
      <c r="AN19" s="210">
        <f t="shared" si="18"/>
        <v>11</v>
      </c>
      <c r="AO19" s="211">
        <v>11</v>
      </c>
      <c r="AP19" s="211">
        <v>10</v>
      </c>
      <c r="AQ19" s="211">
        <v>10</v>
      </c>
      <c r="AR19" s="211">
        <v>10</v>
      </c>
      <c r="AS19" s="153">
        <f t="shared" si="18"/>
        <v>0</v>
      </c>
      <c r="AT19" s="153">
        <f t="shared" si="18"/>
        <v>0</v>
      </c>
      <c r="AU19" s="211"/>
      <c r="AV19" s="212"/>
      <c r="AW19" s="211"/>
      <c r="AX19" s="212"/>
      <c r="AY19" s="133">
        <f>SUBTOTAL(9,AY9:AY18)</f>
        <v>10073</v>
      </c>
      <c r="AZ19" s="134">
        <f>SUBTOTAL(9,AZ9:AZ18)</f>
        <v>6193</v>
      </c>
      <c r="BA19" s="134">
        <f>SUBTOTAL(9,BA9:BA18)</f>
        <v>5307</v>
      </c>
      <c r="BB19" s="134">
        <f>SUBTOTAL(9,BB9:BB18)</f>
        <v>10980</v>
      </c>
      <c r="BC19" s="135">
        <f>SUBTOTAL(9,BC9:BC18)</f>
        <v>1412</v>
      </c>
      <c r="BD19" s="213">
        <f>IF(ISNUMBER(BA19/AZ19),BA19/AZ19," - ")</f>
        <v>0.85693524947521393</v>
      </c>
      <c r="BE19" s="210">
        <f>IF(ISNUMBER(BB19/BA19),BB19/BA19, " - ")</f>
        <v>2.0689655172413794</v>
      </c>
      <c r="BF19" s="210">
        <f>IF(ISNUMBER(BC19/BA19),BC19/BA19, " - ")</f>
        <v>0.26606368946674203</v>
      </c>
      <c r="BG19" s="135">
        <f>IF(ISNUMBER((AY19+AZ19)/BA19),(AY19+AZ19)/BA19," - ")</f>
        <v>3.0650084793668739</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rBcxEIfWSP2xMKUU1imPyZhMAUSS+0PMRvGq7c6bn2/o/Qlo0G46qsYQHCq2mSH4Y6ZsDIEcvbSw7bH9l3Fow==" saltValue="WUmunNBR0OyCSYS7a1DNi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GOmo+n3v6CLjrcHP8HYMeOOfnAhGDfmyzyGwOw1tk/FjgfdFqBmjtNWzO6wKRSWCMA+J/5oksCGyNeKNcQCnw==" saltValue="9r1eyQYimCjAkXkPaN3Oa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TORREMOLINOS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161</v>
      </c>
      <c r="O9" s="334"/>
      <c r="P9" s="334"/>
      <c r="Q9" s="226">
        <f>IF(ISNUMBER(Datos!P9),Datos!P9,0)</f>
        <v>523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326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149</v>
      </c>
      <c r="AI9" s="334" t="str">
        <f>IF(ISNUMBER(Datos!CD9),Datos!CD9,"-")</f>
        <v>-</v>
      </c>
      <c r="AJ9" s="334" t="str">
        <f>IF(ISNUMBER(Datos!EN9),Datos!EN9," - ")</f>
        <v xml:space="preserve"> - </v>
      </c>
      <c r="AK9" s="334"/>
      <c r="AL9" s="479"/>
      <c r="AM9" s="335">
        <f>IF(ISNUMBER(Datos!R9),Datos!R9," - ")</f>
        <v>7179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705</v>
      </c>
      <c r="BD9" s="229">
        <f>IF(ISNUMBER(Datos!N9),Datos!N9," - ")</f>
        <v>1723</v>
      </c>
      <c r="BE9" s="229" t="str">
        <f>IF(ISNUMBER(Datos!BW9),Datos!BW9," - ")</f>
        <v xml:space="preserve"> - </v>
      </c>
      <c r="BF9" s="228" t="str">
        <f>IF(ISNUMBER(Datos!BX9),Datos!BX9," - ")</f>
        <v xml:space="preserve"> - </v>
      </c>
      <c r="BG9" s="243">
        <f>IF(ISNUMBER(IF(J_V="SI",Datos!K9/Datos!J9,(Datos!K9+Datos!AA9)/(Datos!J9+Datos!Z9))),IF(J_V="SI",Datos!K9/Datos!J9,(Datos!K9+Datos!AA9)/(Datos!J9+Datos!Z9))," - ")</f>
        <v>1.0969251336898396</v>
      </c>
      <c r="BH9" s="260">
        <f>IF(ISNUMBER(((IF(J_V="SI",Datos!L9/Datos!K9,(Datos!L9+Datos!AB9)/(Datos!K9+Datos!AA9)))*11)/factor_trimestre),((IF(J_V="SI",Datos!L9/Datos!K9,(Datos!L9+Datos!AB9)/(Datos!K9+Datos!AA9)))*11)/factor_trimestre," - ")</f>
        <v>7.7358318098720291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2.8215411057003724E-2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179</v>
      </c>
      <c r="G10" s="333">
        <f>IF(ISNUMBER(Datos!I10),Datos!I10," - ")</f>
        <v>179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40</v>
      </c>
      <c r="AC10" s="226">
        <f>IF(ISNUMBER(Datos!Q10),Datos!Q10," - ")</f>
        <v>8</v>
      </c>
      <c r="AD10" s="334"/>
      <c r="AE10" s="484"/>
      <c r="AF10" s="332">
        <f>IF(ISNUMBER(Datos!L10),Datos!L10,"-")</f>
        <v>168</v>
      </c>
      <c r="AG10" s="334"/>
      <c r="AH10" s="334"/>
      <c r="AI10" s="334"/>
      <c r="AJ10" s="334"/>
      <c r="AK10" s="334"/>
      <c r="AL10" s="479"/>
      <c r="AM10" s="335">
        <f>IF(ISNUMBER(Datos!R10),Datos!R10," - ")</f>
        <v>78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22</v>
      </c>
      <c r="BE10" s="229" t="str">
        <f>IF(ISNUMBER(Datos!BW10),Datos!BW10," - ")</f>
        <v xml:space="preserve"> - </v>
      </c>
      <c r="BF10" s="228" t="str">
        <f>IF(ISNUMBER(Datos!BX10),Datos!BX10," - ")</f>
        <v xml:space="preserve"> - </v>
      </c>
      <c r="BG10" s="243">
        <f>IF(ISNUMBER(Datos!K10/Datos!J10),Datos!K10/Datos!J10," - ")</f>
        <v>1.3793103448275863</v>
      </c>
      <c r="BH10" s="260">
        <f>IF(ISNUMBER(((Datos!L10/Datos!K10)*11)/factor_trimestre),((Datos!L10/Datos!K10)*11)/factor_trimestre," - ")</f>
        <v>12.600000000000001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-1.2658227848101266E-2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179</v>
      </c>
      <c r="G13" s="898">
        <f t="shared" si="0"/>
        <v>179</v>
      </c>
      <c r="H13" s="899">
        <f t="shared" si="0"/>
        <v>0</v>
      </c>
      <c r="I13" s="898">
        <f t="shared" si="0"/>
        <v>0</v>
      </c>
      <c r="J13" s="867">
        <f t="shared" si="0"/>
        <v>0</v>
      </c>
      <c r="K13" s="867">
        <f t="shared" si="0"/>
        <v>0</v>
      </c>
      <c r="L13" s="899">
        <f t="shared" si="0"/>
        <v>0</v>
      </c>
      <c r="M13" s="899">
        <f t="shared" si="0"/>
        <v>0</v>
      </c>
      <c r="N13" s="899">
        <f t="shared" si="0"/>
        <v>161</v>
      </c>
      <c r="O13" s="900">
        <f t="shared" si="0"/>
        <v>0</v>
      </c>
      <c r="P13" s="900">
        <f t="shared" si="0"/>
        <v>0</v>
      </c>
      <c r="Q13" s="899">
        <f t="shared" si="0"/>
        <v>530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40</v>
      </c>
      <c r="AC13" s="899">
        <f t="shared" si="1"/>
        <v>334</v>
      </c>
      <c r="AD13" s="899">
        <f t="shared" si="1"/>
        <v>0</v>
      </c>
      <c r="AE13" s="899">
        <f t="shared" si="1"/>
        <v>0</v>
      </c>
      <c r="AF13" s="899">
        <f t="shared" si="1"/>
        <v>168</v>
      </c>
      <c r="AG13" s="899">
        <f t="shared" si="1"/>
        <v>0</v>
      </c>
      <c r="AH13" s="899">
        <f t="shared" si="1"/>
        <v>149</v>
      </c>
      <c r="AI13" s="899">
        <f t="shared" si="1"/>
        <v>0</v>
      </c>
      <c r="AJ13" s="899">
        <f t="shared" si="1"/>
        <v>0</v>
      </c>
      <c r="AK13" s="899">
        <f t="shared" si="1"/>
        <v>0</v>
      </c>
      <c r="AL13" s="899">
        <f t="shared" si="1"/>
        <v>0</v>
      </c>
      <c r="AM13" s="899">
        <f t="shared" si="1"/>
        <v>7257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714</v>
      </c>
      <c r="BD13" s="899">
        <f t="shared" si="1"/>
        <v>1745</v>
      </c>
      <c r="BE13" s="899">
        <f t="shared" si="1"/>
        <v>0</v>
      </c>
      <c r="BF13" s="899">
        <f t="shared" si="1"/>
        <v>0</v>
      </c>
      <c r="BG13" s="899">
        <f>IF(ISNUMBER(Datos!K13/Datos!J13),Datos!K13/Datos!J13," - ")</f>
        <v>1.1167832167832168</v>
      </c>
      <c r="BH13" s="903">
        <f>IF(ISNUMBER(((Datos!L13/Datos!K13)*11)/factor_trimestre),((Datos!L13/Datos!K13)*11)/factor_trimestre," - ")</f>
        <v>7.9668127739511592</v>
      </c>
      <c r="BI13" s="899">
        <f>IF(ISNUMBER('Resol  Asuntos'!D13/NºAsuntos!G13),'Resol  Asuntos'!D13/NºAsuntos!G13," - ")</f>
        <v>0.21493076459963878</v>
      </c>
      <c r="BJ13" s="899" t="str">
        <f>IF(ISNUMBER(Datos!CI13/Datos!CJ13),Datos!CI13/Datos!CJ13," - ")</f>
        <v xml:space="preserve"> - </v>
      </c>
      <c r="BK13" s="899">
        <f>SUBTOTAL(9,BK8:BK12)</f>
        <v>0</v>
      </c>
      <c r="BL13" s="899">
        <f>IF(ISNUMBER((I13-AB13+L13)/(F13)),(I13-AB13+L13)/(F13)," - ")</f>
        <v>-0.22346368715083798</v>
      </c>
      <c r="BM13" s="904">
        <f>SUBTOTAL(9,BM9:BM12)</f>
        <v>1.5557183208902458E-2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2513</v>
      </c>
      <c r="G15" s="598">
        <f>IF(ISNUMBER(IF(D_I="SI",Datos!I15,Datos!I15+Datos!AC15)),IF(D_I="SI",Datos!I15,Datos!I15+Datos!AC15)," - ")</f>
        <v>2486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3332</v>
      </c>
      <c r="AC15" s="226">
        <f>IF(ISNUMBER(Datos!Q15),Datos!Q15," - ")</f>
        <v>36</v>
      </c>
      <c r="AD15" s="334"/>
      <c r="AE15" s="484"/>
      <c r="AF15" s="596">
        <f>IF(ISNUMBER(IF(D_I="SI",Datos!L15,Datos!L15+Datos!AF15)),IF(D_I="SI",Datos!L15,Datos!L15+Datos!AF15)," - ")</f>
        <v>2404</v>
      </c>
      <c r="AG15" s="334"/>
      <c r="AH15" s="334"/>
      <c r="AI15" s="334"/>
      <c r="AJ15" s="334"/>
      <c r="AK15" s="334"/>
      <c r="AL15" s="479"/>
      <c r="AM15" s="335">
        <f>IF(ISNUMBER(Datos!R15),Datos!R15," - ")</f>
        <v>157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285</v>
      </c>
      <c r="BD15" s="229">
        <f>IF(ISNUMBER(Datos!N15),Datos!N15," - ")</f>
        <v>2185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1.0338194228979212</v>
      </c>
      <c r="BH15" s="260">
        <f>IF(ISNUMBER(((IF(D_I="SI",Datos!L15/Datos!K15,(Datos!L15+Datos!AF15)/(Datos!K15+Datos!AE15)))*11)/factor_trimestre),((IF(D_I="SI",Datos!L15/Datos!K15,(Datos!L15+Datos!AF15)/(Datos!K15+Datos!AE15)))*11)/factor_trimestre," - ")</f>
        <v>2.1644657863145258</v>
      </c>
      <c r="BI15" s="243">
        <f>IF(ISNUMBER('Resol  Asuntos'!D15/NºAsuntos!G15),'Resol  Asuntos'!D15/NºAsuntos!G15," - ")</f>
        <v>8.5534213685474189E-2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182</v>
      </c>
      <c r="AC17" s="226">
        <f>IF(ISNUMBER(Datos!Q17),Datos!Q17," - ")</f>
        <v>2</v>
      </c>
      <c r="AD17" s="334"/>
      <c r="AE17" s="484"/>
      <c r="AF17" s="332">
        <f>IF(ISNUMBER(Datos!L17),Datos!L17,"-")</f>
        <v>309</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74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2.4266666666666667</v>
      </c>
      <c r="BH17" s="260">
        <f>IF(ISNUMBER(((IF(D_I="SI",Datos!L17/Datos!K17,(Datos!L17+Datos!AF17)/(Datos!K17+Datos!AE17)))*11)/factor_trimestre),((IF(D_I="SI",Datos!L17/Datos!K17,(Datos!L17+Datos!AF17)/(Datos!K17+Datos!AE17)))*11)/factor_trimestre," - ")</f>
        <v>5.0934065934065931</v>
      </c>
      <c r="BI17" s="243">
        <f>IF(ISNUMBER('Resol  Asuntos'!D17/NºAsuntos!G17),'Resol  Asuntos'!D17/NºAsuntos!G17," - ")</f>
        <v>2.197802197802198E-2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2513</v>
      </c>
      <c r="G18" s="898">
        <f>SUBTOTAL(9,G15:G17)</f>
        <v>2901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3514</v>
      </c>
      <c r="AC18" s="899">
        <f t="shared" si="4"/>
        <v>38</v>
      </c>
      <c r="AD18" s="899">
        <f t="shared" si="4"/>
        <v>0</v>
      </c>
      <c r="AE18" s="899">
        <f t="shared" si="4"/>
        <v>0</v>
      </c>
      <c r="AF18" s="899">
        <f t="shared" si="4"/>
        <v>2713</v>
      </c>
      <c r="AG18" s="899">
        <f t="shared" si="4"/>
        <v>0</v>
      </c>
      <c r="AH18" s="899">
        <f t="shared" si="4"/>
        <v>0</v>
      </c>
      <c r="AI18" s="899">
        <f t="shared" si="4"/>
        <v>0</v>
      </c>
      <c r="AJ18" s="899">
        <f t="shared" si="4"/>
        <v>0</v>
      </c>
      <c r="AK18" s="899">
        <f t="shared" si="4"/>
        <v>0</v>
      </c>
      <c r="AL18" s="899">
        <f t="shared" si="4"/>
        <v>0</v>
      </c>
      <c r="AM18" s="899">
        <f t="shared" si="4"/>
        <v>165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289</v>
      </c>
      <c r="BD18" s="899">
        <f t="shared" si="4"/>
        <v>2259</v>
      </c>
      <c r="BE18" s="899">
        <f t="shared" si="4"/>
        <v>0</v>
      </c>
      <c r="BF18" s="899">
        <f t="shared" si="4"/>
        <v>0</v>
      </c>
      <c r="BG18" s="899">
        <f>IF(ISNUMBER(Datos!K18/Datos!J18),Datos!K18/Datos!J18," - ")</f>
        <v>1.0654942389326865</v>
      </c>
      <c r="BH18" s="903">
        <f>IF(ISNUMBER(((Datos!L18/Datos!K18)*11)/factor_trimestre),((Datos!L18/Datos!K18)*11)/factor_trimestre," - ")</f>
        <v>2.3161639157655096</v>
      </c>
      <c r="BI18" s="899">
        <f>SUBTOTAL(9,BI15:BI17)</f>
        <v>0.10751223566349617</v>
      </c>
      <c r="BJ18" s="899">
        <f>SUBTOTAL(9,BJ15:BJ17)</f>
        <v>0</v>
      </c>
      <c r="BK18" s="899">
        <f>SUBTOTAL(9,BK15:BK17)</f>
        <v>0</v>
      </c>
      <c r="BL18" s="899">
        <f>IF(ISNUMBER((I18-AB18+L18)/(F18)),(I18-AB18+L18)/(F18)," - ")</f>
        <v>-1.3983286908077994</v>
      </c>
      <c r="BM18" s="905">
        <f>IF(ISNUMBER((Datos!P18-Datos!Q18)/(Datos!R18-Datos!P18+Datos!Q18)),(Datos!P18-Datos!Q18)/(Datos!R18-Datos!P18+Datos!Q18)," - ")</f>
        <v>3.125E-2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2692</v>
      </c>
      <c r="G19" s="820">
        <f t="shared" si="6"/>
        <v>3080</v>
      </c>
      <c r="H19" s="822">
        <f t="shared" si="6"/>
        <v>0</v>
      </c>
      <c r="I19" s="820">
        <f t="shared" si="6"/>
        <v>0</v>
      </c>
      <c r="J19" s="822">
        <f t="shared" si="6"/>
        <v>0</v>
      </c>
      <c r="K19" s="822">
        <f t="shared" si="6"/>
        <v>0</v>
      </c>
      <c r="L19" s="881">
        <f t="shared" si="6"/>
        <v>0</v>
      </c>
      <c r="M19" s="881">
        <f t="shared" si="6"/>
        <v>0</v>
      </c>
      <c r="N19" s="881">
        <f t="shared" si="6"/>
        <v>161</v>
      </c>
      <c r="O19" s="881">
        <f t="shared" si="6"/>
        <v>0</v>
      </c>
      <c r="P19" s="881">
        <f t="shared" si="6"/>
        <v>0</v>
      </c>
      <c r="Q19" s="822">
        <f t="shared" si="6"/>
        <v>573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3554</v>
      </c>
      <c r="AC19" s="821">
        <f t="shared" si="7"/>
        <v>372</v>
      </c>
      <c r="AD19" s="821">
        <f t="shared" si="7"/>
        <v>0</v>
      </c>
      <c r="AE19" s="821">
        <f t="shared" si="7"/>
        <v>0</v>
      </c>
      <c r="AF19" s="828">
        <f t="shared" si="7"/>
        <v>2881</v>
      </c>
      <c r="AG19" s="828">
        <f t="shared" si="7"/>
        <v>0</v>
      </c>
      <c r="AH19" s="828">
        <f t="shared" si="7"/>
        <v>149</v>
      </c>
      <c r="AI19" s="828">
        <f t="shared" si="7"/>
        <v>0</v>
      </c>
      <c r="AJ19" s="821">
        <f t="shared" si="7"/>
        <v>0</v>
      </c>
      <c r="AK19" s="828">
        <f t="shared" si="7"/>
        <v>0</v>
      </c>
      <c r="AL19" s="828">
        <f t="shared" si="7"/>
        <v>0</v>
      </c>
      <c r="AM19" s="828">
        <f t="shared" si="7"/>
        <v>7422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1003</v>
      </c>
      <c r="BD19" s="820">
        <f t="shared" si="7"/>
        <v>4004</v>
      </c>
      <c r="BE19" s="820">
        <f t="shared" si="7"/>
        <v>0</v>
      </c>
      <c r="BF19" s="830">
        <f t="shared" si="7"/>
        <v>0</v>
      </c>
      <c r="BG19" s="915">
        <f>IF(ISNUMBER(Datos!K19/Datos!J19),Datos!K19/Datos!J19," - ")</f>
        <v>1.0893147125690159</v>
      </c>
      <c r="BH19" s="915">
        <f>IF(ISNUMBER(((Datos!L19/Datos!K19)*11)/factor_trimestre),((Datos!L19/Datos!K19)*11)/factor_trimestre," - ")</f>
        <v>5.0067084078711988</v>
      </c>
      <c r="BI19" s="813">
        <f>IF(ISNUMBER(Datos!J19/Datos!I19),Datos!J19/Datos!I19," - ")</f>
        <v>0.54303350970017639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-1.3202080237741456</v>
      </c>
      <c r="BM19" s="889">
        <f>IF(ISNUMBER((Datos!P19-Datos!Q19+R19)/(Datos!R19-Datos!P19+Datos!Q19-R19)),(Datos!P19-Datos!Q19+R19)/(Datos!R19-Datos!P19+Datos!Q19-R19)," - ")</f>
        <v>2.7835479850436228E-2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1347.5355282885866</v>
      </c>
      <c r="G21" s="552">
        <f>IF(ISNUMBER(STDEV(G8:G18)),STDEV(G8:G18),"-")</f>
        <v>1345.6582032596539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1829.0715677632736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316.54109791094533</v>
      </c>
      <c r="BD21" s="551"/>
      <c r="BE21" s="551">
        <f>IF(ISNUMBER(STDEV(BE8:BE18)),STDEV(BE8:BE18),"-")</f>
        <v>0</v>
      </c>
      <c r="BF21" s="556">
        <f>IF(ISNUMBER(STDEV(BF8:BF18)),STDEV(BF8:BF18),"-")</f>
        <v>0</v>
      </c>
      <c r="BG21" s="775">
        <f>IF(ISNUMBER(STDEV(BG8:BG18)),STDEV(BG8:BG18),"-")</f>
        <v>0.54025192054999582</v>
      </c>
      <c r="BH21" s="776">
        <f>IF(ISNUMBER(STDEV(BH8:BH18)),STDEV(BH8:BH18),"-")</f>
        <v>3.9738736427878156</v>
      </c>
      <c r="BI21" s="249">
        <f>IF(ISNUMBER(STDEV(BI8:BI18)),STDEV(BI8:BI18),"-")</f>
        <v>8.0286722282134973E-2</v>
      </c>
      <c r="BJ21" s="230" t="str">
        <f>IF(ISNUMBER(BL21/BM21),BL21/BM21," - ")</f>
        <v xml:space="preserve"> - </v>
      </c>
      <c r="BK21" s="575"/>
      <c r="BL21" s="559">
        <f>IF(ISNUMBER(STDEV(BL8:BL18)),STDEV(BL8:BL18),"-")</f>
        <v>0.83075501106459537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c9uJSO7tbB/wK+0vvzDGYfq0L2glBO//sb7o9Bkwfg5+yUmTEk7nKDI77oM38jZFlR5M/dWP6e2Y1e369qvHA==" saltValue="sht9vn2WRaCIEXUpOjUm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TORREMOLINOS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523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326</v>
      </c>
      <c r="AA9" s="332" t="str">
        <f>IF(ISNUMBER(IF(J_V="SI",Datos!L9,Datos!L9+Datos!AB9)-IF(Monitorios="SI",Datos!CD9,0)),
                          IF(J_V="SI",Datos!L9,Datos!L9+Datos!AB9)-IF(Monitorios="SI",Datos!CD9,0),
                          " - ")</f>
        <v xml:space="preserve"> - </v>
      </c>
      <c r="AB9" s="334"/>
      <c r="AC9" s="334"/>
      <c r="AD9" s="484"/>
      <c r="AE9" s="484">
        <f>IF(ISNUMBER(Datos!R9),Datos!R9," - ")</f>
        <v>7179</v>
      </c>
      <c r="AF9" s="229" t="str">
        <f>IF(ISNUMBER(Datos!BV9),Datos!BV9," - ")</f>
        <v xml:space="preserve"> - </v>
      </c>
      <c r="AG9" s="225" t="str">
        <f>IF(ISNUMBER(Datos!DV9),Datos!DV9," - ")</f>
        <v xml:space="preserve"> - </v>
      </c>
      <c r="AH9" s="298"/>
      <c r="AI9" s="227"/>
      <c r="AJ9" s="225">
        <f>IF(ISNUMBER(Datos!M9),Datos!M9," - ")</f>
        <v>705</v>
      </c>
      <c r="AK9" s="229">
        <f>IF(ISNUMBER(Datos!N9),Datos!N9," - ")</f>
        <v>1723</v>
      </c>
      <c r="AL9" s="229" t="str">
        <f>IF(ISNUMBER(Datos!BW9),Datos!BW9," - ")</f>
        <v xml:space="preserve"> - </v>
      </c>
      <c r="AM9" s="228" t="str">
        <f>IF(ISNUMBER(Datos!BX9),Datos!BX9," - ")</f>
        <v xml:space="preserve"> - </v>
      </c>
      <c r="AN9" s="243"/>
      <c r="AO9" s="260">
        <f>IF(ISNUMBER(((NºAsuntos!I9/NºAsuntos!G9)*11)/factor_trimestre),((NºAsuntos!I9/NºAsuntos!G9)*11)/factor_trimestre," - ")</f>
        <v>7.7358318098720291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2.8215411057003724E-2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179</v>
      </c>
      <c r="G10" s="225">
        <f>IF(ISNUMBER(Datos!I10),Datos!I10," - ")</f>
        <v>179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40</v>
      </c>
      <c r="Z10" s="619">
        <f>IF(ISNUMBER(Datos!Q10),Datos!Q10," - ")</f>
        <v>8</v>
      </c>
      <c r="AA10" s="332">
        <f>IF(ISNUMBER(Datos!L10),Datos!L10,"-")</f>
        <v>168</v>
      </c>
      <c r="AB10" s="334"/>
      <c r="AC10" s="334"/>
      <c r="AD10" s="484"/>
      <c r="AE10" s="484">
        <f>IF(ISNUMBER(Datos!R10),Datos!R10," - ")</f>
        <v>78</v>
      </c>
      <c r="AF10" s="229" t="str">
        <f>IF(ISNUMBER(Datos!BV10),Datos!BV10," - ")</f>
        <v xml:space="preserve"> - </v>
      </c>
      <c r="AG10" s="225" t="str">
        <f>IF(ISNUMBER(Datos!DV10),Datos!DV10," - ")</f>
        <v xml:space="preserve"> - </v>
      </c>
      <c r="AH10" s="298"/>
      <c r="AI10" s="227"/>
      <c r="AJ10" s="225">
        <f>IF(ISNUMBER(Datos!M10),Datos!M10," - ")</f>
        <v>9</v>
      </c>
      <c r="AK10" s="229">
        <f>IF(ISNUMBER(Datos!N10),Datos!N10," - ")</f>
        <v>22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12.600000000000001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-1.2658227848101266E-2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179</v>
      </c>
      <c r="G13" s="898">
        <f>SUBTOTAL(9,G8:G12)</f>
        <v>179</v>
      </c>
      <c r="H13" s="908"/>
      <c r="I13" s="898">
        <f t="shared" ref="I13:N13" si="0">SUBTOTAL(9,I8:I12)</f>
        <v>0</v>
      </c>
      <c r="J13" s="867">
        <f t="shared" si="0"/>
        <v>0</v>
      </c>
      <c r="K13" s="908">
        <f t="shared" si="0"/>
        <v>0</v>
      </c>
      <c r="L13" s="908">
        <f t="shared" si="0"/>
        <v>0</v>
      </c>
      <c r="M13" s="908">
        <f t="shared" si="0"/>
        <v>0</v>
      </c>
      <c r="N13" s="908">
        <f t="shared" si="0"/>
        <v>530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40</v>
      </c>
      <c r="Z13" s="907">
        <f t="shared" si="2"/>
        <v>334</v>
      </c>
      <c r="AA13" s="900">
        <f t="shared" si="2"/>
        <v>168</v>
      </c>
      <c r="AB13" s="900">
        <f t="shared" si="2"/>
        <v>0</v>
      </c>
      <c r="AC13" s="900">
        <f t="shared" si="2"/>
        <v>0</v>
      </c>
      <c r="AD13" s="900">
        <f t="shared" si="2"/>
        <v>0</v>
      </c>
      <c r="AE13" s="900">
        <f t="shared" si="2"/>
        <v>7257</v>
      </c>
      <c r="AF13" s="908">
        <f t="shared" si="2"/>
        <v>0</v>
      </c>
      <c r="AG13" s="908">
        <f t="shared" si="2"/>
        <v>0</v>
      </c>
      <c r="AH13" s="908">
        <f t="shared" si="2"/>
        <v>0</v>
      </c>
      <c r="AI13" s="908">
        <f t="shared" si="2"/>
        <v>0</v>
      </c>
      <c r="AJ13" s="908">
        <f t="shared" si="2"/>
        <v>714</v>
      </c>
      <c r="AK13" s="908">
        <f t="shared" si="2"/>
        <v>1745</v>
      </c>
      <c r="AL13" s="908">
        <f t="shared" si="2"/>
        <v>0</v>
      </c>
      <c r="AM13" s="908">
        <f t="shared" si="2"/>
        <v>0</v>
      </c>
      <c r="AN13" s="908">
        <f t="shared" si="2"/>
        <v>0</v>
      </c>
      <c r="AO13" s="904">
        <f>IF(ISNUMBER(((NºAsuntos!I13/NºAsuntos!G13)*11)/factor_trimestre),((NºAsuntos!I13/NºAsuntos!G13)*11)/factor_trimestre," - ")</f>
        <v>7.7944009632751348</v>
      </c>
      <c r="AP13" s="910" t="str">
        <f>IF(ISNUMBER(Datos!CI13/Datos!CJ13),Datos!CI13/Datos!CJ13," - ")</f>
        <v xml:space="preserve"> - </v>
      </c>
      <c r="AQ13" s="928">
        <f t="shared" ref="AQ13:AV13" si="3">SUBTOTAL(9,AQ9:AQ12)</f>
        <v>0</v>
      </c>
      <c r="AR13" s="928">
        <f t="shared" si="3"/>
        <v>1.5557183208902458E-2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2513</v>
      </c>
      <c r="G15" s="225">
        <f>IF(ISNUMBER(IF(D_I="SI",Datos!I15,Datos!I15+Datos!AC15)),IF(D_I="SI",Datos!I15,Datos!I15+Datos!AC15)," - ")</f>
        <v>2486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3332</v>
      </c>
      <c r="Z15" s="619">
        <f>IF(ISNUMBER(Datos!Q15),Datos!Q15," - ")</f>
        <v>36</v>
      </c>
      <c r="AA15" s="332">
        <f>IF(ISNUMBER(IF(D_I="SI",Datos!L15,Datos!L15+Datos!AF15)),IF(D_I="SI",Datos!L15,Datos!L15+Datos!AF15)," - ")</f>
        <v>2404</v>
      </c>
      <c r="AB15" s="334"/>
      <c r="AC15" s="334"/>
      <c r="AD15" s="484"/>
      <c r="AE15" s="484">
        <f>IF(ISNUMBER(Datos!R15),Datos!R15," - ")</f>
        <v>157</v>
      </c>
      <c r="AF15" s="229" t="str">
        <f>IF(ISNUMBER(Datos!BV15),Datos!BV15," - ")</f>
        <v xml:space="preserve"> - </v>
      </c>
      <c r="AG15" s="225"/>
      <c r="AH15" s="298"/>
      <c r="AI15" s="227"/>
      <c r="AJ15" s="225">
        <f>IF(ISNUMBER(Datos!M15),Datos!M15," - ")</f>
        <v>285</v>
      </c>
      <c r="AK15" s="229">
        <f>IF(ISNUMBER(Datos!N15),Datos!N15," - ")</f>
        <v>2185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2.1644657863145258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182</v>
      </c>
      <c r="Z17" s="619">
        <f>IF(ISNUMBER(Datos!Q17),Datos!Q17," - ")</f>
        <v>2</v>
      </c>
      <c r="AA17" s="332">
        <f>IF(ISNUMBER(Datos!L17),Datos!L17,"-")</f>
        <v>309</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4</v>
      </c>
      <c r="AK17" s="229">
        <f>IF(ISNUMBER(Datos!N17),Datos!N17," - ")</f>
        <v>74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5.0934065934065931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2513</v>
      </c>
      <c r="G18" s="898">
        <f>SUBTOTAL(9,G15:G17)</f>
        <v>2901</v>
      </c>
      <c r="H18" s="932">
        <f>SUBTOTAL(9,H15:H17)</f>
        <v>0</v>
      </c>
      <c r="I18" s="911">
        <f>SUBTOTAL(9,I15:I17)</f>
        <v>0</v>
      </c>
      <c r="J18" s="867">
        <f>SUBTOTAL(9,J14:J17)</f>
        <v>0</v>
      </c>
      <c r="K18" s="932">
        <f t="shared" ref="K18:S18" si="4">SUBTOTAL(9,K15:K17)</f>
        <v>0</v>
      </c>
      <c r="L18" s="932">
        <f t="shared" si="4"/>
        <v>0</v>
      </c>
      <c r="M18" s="932">
        <f t="shared" si="4"/>
        <v>0</v>
      </c>
      <c r="N18" s="932">
        <f t="shared" si="4"/>
        <v>43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3514</v>
      </c>
      <c r="Z18" s="932">
        <f t="shared" si="5"/>
        <v>38</v>
      </c>
      <c r="AA18" s="932">
        <f t="shared" si="5"/>
        <v>2713</v>
      </c>
      <c r="AB18" s="932">
        <f t="shared" si="5"/>
        <v>0</v>
      </c>
      <c r="AC18" s="932">
        <f t="shared" si="5"/>
        <v>0</v>
      </c>
      <c r="AD18" s="932">
        <f t="shared" si="5"/>
        <v>0</v>
      </c>
      <c r="AE18" s="932">
        <f t="shared" si="5"/>
        <v>165</v>
      </c>
      <c r="AF18" s="932">
        <f t="shared" si="5"/>
        <v>0</v>
      </c>
      <c r="AG18" s="932">
        <f t="shared" si="5"/>
        <v>0</v>
      </c>
      <c r="AH18" s="932">
        <f t="shared" si="5"/>
        <v>0</v>
      </c>
      <c r="AI18" s="932">
        <f t="shared" si="5"/>
        <v>0</v>
      </c>
      <c r="AJ18" s="932">
        <f t="shared" si="5"/>
        <v>289</v>
      </c>
      <c r="AK18" s="932">
        <f t="shared" si="5"/>
        <v>2259</v>
      </c>
      <c r="AL18" s="932">
        <f t="shared" si="5"/>
        <v>0</v>
      </c>
      <c r="AM18" s="932">
        <f t="shared" si="5"/>
        <v>0</v>
      </c>
      <c r="AN18" s="932">
        <f t="shared" si="5"/>
        <v>0</v>
      </c>
      <c r="AO18" s="934">
        <f>IF(ISNUMBER(((NºAsuntos!I18/NºAsuntos!G18)*11)/factor_trimestre),((NºAsuntos!I18/NºAsuntos!G18)*11)/factor_trimestre," - ")</f>
        <v>2.3161639157655096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2692</v>
      </c>
      <c r="G19" s="820">
        <f t="shared" si="7"/>
        <v>3080</v>
      </c>
      <c r="H19" s="821">
        <f t="shared" si="7"/>
        <v>0</v>
      </c>
      <c r="I19" s="820">
        <f t="shared" si="7"/>
        <v>0</v>
      </c>
      <c r="J19" s="822">
        <f t="shared" si="7"/>
        <v>0</v>
      </c>
      <c r="K19" s="820">
        <f t="shared" si="7"/>
        <v>0</v>
      </c>
      <c r="L19" s="823">
        <f t="shared" si="7"/>
        <v>0</v>
      </c>
      <c r="M19" s="820">
        <f t="shared" si="7"/>
        <v>0</v>
      </c>
      <c r="N19" s="821">
        <f t="shared" si="7"/>
        <v>573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3554</v>
      </c>
      <c r="Z19" s="827">
        <f t="shared" si="8"/>
        <v>372</v>
      </c>
      <c r="AA19" s="828">
        <f t="shared" si="8"/>
        <v>2881</v>
      </c>
      <c r="AB19" s="828">
        <f t="shared" si="8"/>
        <v>0</v>
      </c>
      <c r="AC19" s="828">
        <f t="shared" si="8"/>
        <v>0</v>
      </c>
      <c r="AD19" s="829">
        <f t="shared" si="8"/>
        <v>0</v>
      </c>
      <c r="AE19" s="829">
        <f t="shared" si="8"/>
        <v>7422</v>
      </c>
      <c r="AF19" s="830">
        <f t="shared" si="8"/>
        <v>0</v>
      </c>
      <c r="AG19" s="831">
        <f t="shared" si="8"/>
        <v>0</v>
      </c>
      <c r="AH19" s="832">
        <f t="shared" si="8"/>
        <v>0</v>
      </c>
      <c r="AI19" s="830">
        <f t="shared" si="8"/>
        <v>0</v>
      </c>
      <c r="AJ19" s="820">
        <f t="shared" si="8"/>
        <v>1003</v>
      </c>
      <c r="AK19" s="820">
        <f t="shared" si="8"/>
        <v>4004</v>
      </c>
      <c r="AL19" s="820">
        <f t="shared" si="8"/>
        <v>0</v>
      </c>
      <c r="AM19" s="833">
        <f t="shared" si="8"/>
        <v>0</v>
      </c>
      <c r="AN19" s="823">
        <f>IF(ISNUMBER(Datos!K19/Datos!J19),Datos!K19/Datos!J19," - ")</f>
        <v>1.0893147125690159</v>
      </c>
      <c r="AO19" s="823">
        <f>IF(ISNUMBER(FIND("06",Criterios!A8,1)),(IF(ISNUMBER(((Datos!R19/Datos!Q19)*11)/factor_trimestre),((Datos!R19/Datos!Q19)*11)/factor_trimestre," - ")),(IF(ISNUMBER(((Datos!L19/Datos!K19)*11)/factor_trimestre),((Datos!L19/Datos!K19)*11)/factor_trimestre," - ")))</f>
        <v>5.0067084078711988</v>
      </c>
      <c r="AP19" s="834" t="str">
        <f>IF(ISNUMBER(Datos!CI19/Datos!CJ19),Datos!CI19/Datos!CJ19," - ")</f>
        <v xml:space="preserve"> - </v>
      </c>
      <c r="AQ19" s="834">
        <f>IF(OR(ISNUMBER(FIND("01",Criterios!A8,1)),ISNUMBER(FIND("02",Criterios!A8,1)),ISNUMBER(FIND("03",Criterios!A8,1)),ISNUMBER(FIND("04",Criterios!A8,1))),(J19-Y19+K19)/(F19-K19),(I19-Y19+K19)/(F19-K19))</f>
        <v>-1.3202080237741456</v>
      </c>
      <c r="AR19" s="834">
        <f>IF(ISNUMBER((Datos!P19-Datos!Q19+O19)/(Datos!R19-Datos!P19+Datos!Q19-O19)),(Datos!P19-Datos!Q19+O19)/(Datos!R19-Datos!P19+Datos!Q19-O19)," - ")</f>
        <v>2.7835479850436228E-2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1347.5355282885866</v>
      </c>
      <c r="G21" s="552">
        <f>IF(ISNUMBER(STDEV(G8:G18)),STDEV(G8:G18),"-")</f>
        <v>1345.6582032596539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316.54109791094533</v>
      </c>
      <c r="AK21" s="252"/>
      <c r="AL21" s="252">
        <f>IF(ISNUMBER(STDEV(AL8:AL18)),STDEV(AL8:AL18),"-")</f>
        <v>0</v>
      </c>
      <c r="AM21" s="254">
        <f>IF(ISNUMBER(STDEV(AM8:AM18)),STDEV(AM8:AM18),"-")</f>
        <v>0</v>
      </c>
      <c r="AN21" s="539">
        <f>IF(ISNUMBER(STDEV(AN8:AN18)),STDEV(AN8:AN18),"-")</f>
        <v>0</v>
      </c>
      <c r="AO21" s="540">
        <f>IF(ISNUMBER(STDEV(AO8:AO18)),STDEV(AO8:AO18),"-")</f>
        <v>3.9601207216663141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yecDeqDninrHFd6xV4eOtvW4ZXmdiMnbiDduq5+PHSvW0V/ks0/xZPnFdK+tQ87i0ipTQcXtSIMkIvqUbxBPg==" saltValue="oGYeaSNpvIn6OO8blH+Y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4hYJThT4JqhWyi1Ae0xhYtHmcGglgDSb3vWKrV3M6en5OiZVFr7fp8t54pwbrDUMShxgWesl5sdl4SCk6xz+A==" saltValue="ABPQSXQGdtu5kVkr4FOu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GlzEcslHVIBhsekLJWIYui3KH1iAUVwQlFGp/dQOovoEJFVvDHL32mLkzjZizE+LEP+XUphXGQOWdktV6QseA==" saltValue="oBDRMuuSnriUS7+robxFJ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TORREMOLINOS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0.21493076459963878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0.15197900113401414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ePCgHYd/IFFe49cp8rWWU0PNdZmX9/OxDjDvxL67X+wJg0b8mFtXIKC43D9JORl5rcGHuVsKQoaUKNvzlobwQ==" saltValue="k3cPGP0hm1UtxJOrJP7M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e5zkFf47FbeaecR4ZG2tXlVDuaj0e+SDTGpfUjCxbt87HtHYIB9ww0XvLDoFu86F9ZVPcYsSQlWuJupnt5I0mQ==" saltValue="aylHegovlLd4VZqiOYO9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TORREMOLINOS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8376</v>
      </c>
      <c r="D9" s="404">
        <f>IF(ISNUMBER(C9/Datos!BH9),C9/Datos!BH9," - ")</f>
        <v>1675.2</v>
      </c>
      <c r="E9" s="403">
        <f>IF(ISNUMBER(IF(J_V="SI",Datos!J9,Datos!J9+Datos!Z9)),IF(J_V="SI",Datos!J9,Datos!J9+Datos!Z9)," - ")</f>
        <v>2992</v>
      </c>
      <c r="F9" s="404">
        <f>IF(ISNUMBER(E9/B9),E9/B9," - ")</f>
        <v>598.4</v>
      </c>
      <c r="G9" s="403">
        <f>IF(ISNUMBER(IF(J_V="SI",Datos!K9,Datos!K9+Datos!AA9)),IF(J_V="SI",Datos!K9,Datos!K9+Datos!AA9)," - ")</f>
        <v>3282</v>
      </c>
      <c r="H9" s="404">
        <f>IF(ISNUMBER(G9/B9),G9/B9," - ")</f>
        <v>656.4</v>
      </c>
      <c r="I9" s="403">
        <f>IF(ISNUMBER(IF(J_V="SI",Datos!L9,Datos!L9+Datos!AB9)),IF(J_V="SI",Datos!L9,Datos!L9+Datos!AB9)," - ")</f>
        <v>8463</v>
      </c>
      <c r="J9" s="404">
        <f>IF(ISNUMBER(I9/B9),I9/B9," - ")</f>
        <v>1692.6</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179</v>
      </c>
      <c r="D10" s="404">
        <f>IF(ISNUMBER(C10/Datos!BH10),C10/Datos!BH10," - ")</f>
        <v>179</v>
      </c>
      <c r="E10" s="403">
        <f>IF(ISNUMBER(Datos!J10),Datos!J10," - ")</f>
        <v>29</v>
      </c>
      <c r="F10" s="404">
        <f>IF(ISNUMBER(E10/B10),E10/B10," - ")</f>
        <v>29</v>
      </c>
      <c r="G10" s="403">
        <f>IF(ISNUMBER(Datos!K10),Datos!K10," - ")</f>
        <v>40</v>
      </c>
      <c r="H10" s="404">
        <f>IF(ISNUMBER(G10/B10),G10/B10," - ")</f>
        <v>40</v>
      </c>
      <c r="I10" s="403">
        <f>IF(ISNUMBER(Datos!L10),Datos!L10," - ")</f>
        <v>168</v>
      </c>
      <c r="J10" s="404">
        <f>IF(ISNUMBER(I10/B10),I10/B10," - ")</f>
        <v>168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8555</v>
      </c>
      <c r="D13" s="850" t="str">
        <f>IF(ISNUMBER(C13/Datos!BI13),C13/Datos!BI13," - ")</f>
        <v xml:space="preserve"> - </v>
      </c>
      <c r="E13" s="849">
        <f>SUBTOTAL(9,E8:E12)</f>
        <v>3021</v>
      </c>
      <c r="F13" s="850">
        <f>IF(ISNUMBER(E13/B13),E13/B13," - ")</f>
        <v>604.20000000000005</v>
      </c>
      <c r="G13" s="849">
        <f>SUBTOTAL(9,G8:G12)</f>
        <v>3322</v>
      </c>
      <c r="H13" s="850">
        <f>IF(ISNUMBER(G13/B13),G13/B13," - ")</f>
        <v>664.4</v>
      </c>
      <c r="I13" s="849">
        <f>SUBTOTAL(9,I8:I12)</f>
        <v>8631</v>
      </c>
      <c r="J13" s="850">
        <f>IF(ISNUMBER(I13/B13),I13/B13," - ")</f>
        <v>1726.2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2486</v>
      </c>
      <c r="D15" s="404">
        <f>IF(ISNUMBER(C15/Datos!BH15),C15/Datos!BH15," - ")</f>
        <v>497.2</v>
      </c>
      <c r="E15" s="403">
        <f>IF(ISNUMBER(IF(D_I="SI",Datos!J15,Datos!J15+Datos!AD15)),IF(D_I="SI",Datos!J15,Datos!J15+Datos!AD15)," - ")</f>
        <v>3223</v>
      </c>
      <c r="F15" s="404">
        <f>IF(ISNUMBER(E15/B15),E15/B15," - ")</f>
        <v>644.6</v>
      </c>
      <c r="G15" s="403">
        <f>IF(ISNUMBER(IF(D_I="SI",Datos!K15,Datos!K15+Datos!AE15)),IF(D_I="SI",Datos!K15,Datos!K15+Datos!AE15)," - ")</f>
        <v>3332</v>
      </c>
      <c r="H15" s="404">
        <f>IF(ISNUMBER(G15/B15),G15/B15," - ")</f>
        <v>666.4</v>
      </c>
      <c r="I15" s="403">
        <f>IF(ISNUMBER(IF(D_I="SI",Datos!L15,Datos!L15+Datos!AF15)),IF(D_I="SI",Datos!L15,Datos!L15+Datos!AF15)," - ")</f>
        <v>2404</v>
      </c>
      <c r="J15" s="404">
        <f>IF(ISNUMBER(I15/B15),I15/B15," - ")</f>
        <v>480.8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415</v>
      </c>
      <c r="D17" s="404">
        <f>IF(ISNUMBER(C17/Datos!BH17),C17/Datos!BH17," - ")</f>
        <v>415</v>
      </c>
      <c r="E17" s="403">
        <f>IF(ISNUMBER(IF(D_I="SI",Datos!J17,Datos!J17+Datos!AD17)),IF(D_I="SI",Datos!J17,Datos!J17+Datos!AD17)," - ")</f>
        <v>75</v>
      </c>
      <c r="F17" s="404">
        <f>IF(ISNUMBER(E17/B17),E17/B17," - ")</f>
        <v>75</v>
      </c>
      <c r="G17" s="403">
        <f>IF(ISNUMBER(IF(D_I="SI",Datos!K17,Datos!K17+Datos!AE17)),IF(D_I="SI",Datos!K17,Datos!K17+Datos!AE17)," - ")</f>
        <v>182</v>
      </c>
      <c r="H17" s="404">
        <f>IF(ISNUMBER(G17/B17),G17/B17," - ")</f>
        <v>182</v>
      </c>
      <c r="I17" s="403">
        <f>IF(ISNUMBER(IF(D_I="SI",Datos!L17,Datos!L17+Datos!AF17)),IF(D_I="SI",Datos!L17,Datos!L17+Datos!AF17)," - ")</f>
        <v>309</v>
      </c>
      <c r="J17" s="404">
        <f>IF(ISNUMBER(I17/B17),I17/B17," - ")</f>
        <v>309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2901</v>
      </c>
      <c r="D18" s="850" t="str">
        <f>IF(ISNUMBER(C18/Datos!BI18),C18/Datos!BI18," - ")</f>
        <v xml:space="preserve"> - </v>
      </c>
      <c r="E18" s="849">
        <f>SUBTOTAL(9,E14:E17)</f>
        <v>3298</v>
      </c>
      <c r="F18" s="850">
        <f>IF(ISNUMBER(E18/B18),E18/B18," - ")</f>
        <v>659.6</v>
      </c>
      <c r="G18" s="849">
        <f>SUBTOTAL(9,G14:G17)</f>
        <v>3514</v>
      </c>
      <c r="H18" s="850">
        <f>IF(ISNUMBER(G18/B18),G18/B18," - ")</f>
        <v>702.8</v>
      </c>
      <c r="I18" s="849">
        <f>SUBTOTAL(9,I14:I17)</f>
        <v>2713</v>
      </c>
      <c r="J18" s="850">
        <f>IF(ISNUMBER(I18/B18),I18/B18," - ")</f>
        <v>542.6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11456</v>
      </c>
      <c r="D19" s="795" t="str">
        <f>IF(ISNUMBER(C19/Datos!BI19),C19/Datos!BI19," - ")</f>
        <v xml:space="preserve"> - </v>
      </c>
      <c r="E19" s="794">
        <f>SUBTOTAL(9,E9:E18)</f>
        <v>6319</v>
      </c>
      <c r="F19" s="795">
        <f>IF(ISNUMBER(E19/B19),E19/B19," - ")</f>
        <v>631.9</v>
      </c>
      <c r="G19" s="794">
        <f>SUBTOTAL(9,G9:G18)</f>
        <v>6836</v>
      </c>
      <c r="H19" s="795">
        <f>IF(ISNUMBER(G19/B19),G19/B19," - ")</f>
        <v>683.6</v>
      </c>
      <c r="I19" s="794">
        <f>SUBTOTAL(9,I9:I18)</f>
        <v>11344</v>
      </c>
      <c r="J19" s="795">
        <f>IF(ISNUMBER(I19/B19),I19/B19," - ")</f>
        <v>1134.4000000000001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22zMCqJwiT/F1WwBsbHrwdS8V3xSLAyaF6oN1hXKe57e2mZXi944s80GVLsyzqAfJa35DRYOHnjPPn9vfjPejg==" saltValue="kQbbv4QRZnTMiHKoNq+p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TORREMOLINOS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179</v>
      </c>
      <c r="G10" s="684">
        <f>IF(ISNUMBER(Datos!I10),Datos!I10," - ")</f>
        <v>179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40</v>
      </c>
      <c r="AC10" s="683" t="str">
        <f>IF(ISNUMBER(IF(D_I="SI",DatosP!K17,DatosP!K17+DatosP!AE17)),IF(D_I="SI",DatosP!K17,DatosP!K17+DatosP!AE17)," - ")</f>
        <v xml:space="preserve"> - </v>
      </c>
      <c r="AD10" s="685"/>
      <c r="AE10" s="685"/>
      <c r="AF10" s="688">
        <f>IF(ISNUMBER(Datos!L10),Datos!L10,"-")</f>
        <v>168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22</v>
      </c>
      <c r="AN10" s="690">
        <f>IF(ISNUMBER(Datos!BW10+DatosP!BW17),Datos!BW10+DatosP!BW17," - ")</f>
        <v>0</v>
      </c>
      <c r="AO10" s="691">
        <f>IF(ISNUMBER(Datos!BX10+DatosP!BX17),Datos!BX10+DatosP!BX17," - ")</f>
        <v>0</v>
      </c>
      <c r="AP10" s="693">
        <f>IF(ISNUMBER(((Datos!L10/Datos!K10)*11)/factor_trimestre),((Datos!L10/Datos!K10)*11)/factor_trimestre," - ")</f>
        <v>12.600000000000001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179</v>
      </c>
      <c r="G13" s="938">
        <f t="shared" si="0"/>
        <v>179</v>
      </c>
      <c r="H13" s="938">
        <f t="shared" si="0"/>
        <v>0</v>
      </c>
      <c r="I13" s="940">
        <f t="shared" si="0"/>
        <v>0</v>
      </c>
      <c r="J13" s="939">
        <f t="shared" si="0"/>
        <v>0</v>
      </c>
      <c r="K13" s="939">
        <f t="shared" si="0"/>
        <v>0</v>
      </c>
      <c r="L13" s="941">
        <f t="shared" si="0"/>
        <v>0</v>
      </c>
      <c r="M13" s="941">
        <f t="shared" si="0"/>
        <v>0</v>
      </c>
      <c r="N13" s="939">
        <f t="shared" si="0"/>
        <v>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40</v>
      </c>
      <c r="AC13" s="939">
        <f t="shared" si="1"/>
        <v>0</v>
      </c>
      <c r="AD13" s="939">
        <f t="shared" si="1"/>
        <v>0</v>
      </c>
      <c r="AE13" s="939">
        <f t="shared" si="1"/>
        <v>0</v>
      </c>
      <c r="AF13" s="939">
        <f t="shared" si="1"/>
        <v>168</v>
      </c>
      <c r="AG13" s="939">
        <f t="shared" si="1"/>
        <v>0</v>
      </c>
      <c r="AH13" s="939">
        <f t="shared" si="1"/>
        <v>0</v>
      </c>
      <c r="AI13" s="939">
        <f t="shared" si="1"/>
        <v>0</v>
      </c>
      <c r="AJ13" s="939">
        <f t="shared" si="1"/>
        <v>0</v>
      </c>
      <c r="AK13" s="939">
        <f t="shared" si="1"/>
        <v>0</v>
      </c>
      <c r="AL13" s="939">
        <f t="shared" si="1"/>
        <v>9</v>
      </c>
      <c r="AM13" s="939">
        <f t="shared" si="1"/>
        <v>22</v>
      </c>
      <c r="AN13" s="939">
        <f t="shared" si="1"/>
        <v>0</v>
      </c>
      <c r="AO13" s="939">
        <f t="shared" si="1"/>
        <v>0</v>
      </c>
      <c r="AP13" s="944">
        <f>IF(ISNUMBER(((Datos!L13/Datos!K13)*11)/factor_trimestre),((Datos!L13/Datos!K13)*11)/factor_trimestre," - ")</f>
        <v>7.9668127739511592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-0.22346368715083798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2.3161639157655096</v>
      </c>
      <c r="AQ18" s="944">
        <f>IF(ISNUMBER(((Datos!M18/Datos!L18)*11)/factor_trimestre),((Datos!M18/Datos!L18)*11)/factor_trimestre," - ")</f>
        <v>0.31957242904533728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3.125E-2</v>
      </c>
      <c r="AW18" s="946">
        <f>IF(ISNUMBER((Datos!Q18-Datos!R18)/(Datos!S18-Datos!Q18+Datos!R18)),(Datos!Q18-Datos!R18)/(Datos!S18-Datos!Q18+Datos!R18)," - ")</f>
        <v>-4.7476635514018692E-2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179</v>
      </c>
      <c r="G19" s="951">
        <f t="shared" si="4"/>
        <v>179</v>
      </c>
      <c r="H19" s="951">
        <f t="shared" si="4"/>
        <v>0</v>
      </c>
      <c r="I19" s="952">
        <f t="shared" si="4"/>
        <v>0</v>
      </c>
      <c r="J19" s="953">
        <f t="shared" si="4"/>
        <v>0</v>
      </c>
      <c r="K19" s="953">
        <f t="shared" si="4"/>
        <v>0</v>
      </c>
      <c r="L19" s="953">
        <f t="shared" si="4"/>
        <v>0</v>
      </c>
      <c r="M19" s="953">
        <f t="shared" si="4"/>
        <v>0</v>
      </c>
      <c r="N19" s="952">
        <f t="shared" si="4"/>
        <v>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40</v>
      </c>
      <c r="AC19" s="957">
        <f t="shared" si="5"/>
        <v>0</v>
      </c>
      <c r="AD19" s="957">
        <f t="shared" si="5"/>
        <v>0</v>
      </c>
      <c r="AE19" s="957">
        <f t="shared" si="5"/>
        <v>0</v>
      </c>
      <c r="AF19" s="958">
        <f t="shared" si="5"/>
        <v>168</v>
      </c>
      <c r="AG19" s="958">
        <f t="shared" si="5"/>
        <v>0</v>
      </c>
      <c r="AH19" s="958">
        <f t="shared" si="5"/>
        <v>0</v>
      </c>
      <c r="AI19" s="958">
        <f t="shared" si="5"/>
        <v>0</v>
      </c>
      <c r="AJ19" s="959">
        <f t="shared" si="5"/>
        <v>0</v>
      </c>
      <c r="AK19" s="959">
        <f t="shared" si="5"/>
        <v>0</v>
      </c>
      <c r="AL19" s="951">
        <f t="shared" si="5"/>
        <v>9</v>
      </c>
      <c r="AM19" s="951">
        <f t="shared" si="5"/>
        <v>22</v>
      </c>
      <c r="AN19" s="951">
        <f t="shared" si="5"/>
        <v>0</v>
      </c>
      <c r="AO19" s="951">
        <f t="shared" si="5"/>
        <v>0</v>
      </c>
      <c r="AP19" s="951">
        <f>IF(ISNUMBER(((Datos!L19/Datos!K19)*11)/factor_trimestre),((Datos!L19/Datos!K19)*11)/factor_trimestre," - ")</f>
        <v>5.0067084078711988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-0.22346368715083798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2.7835479850436228E-2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119.33333333333333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103.345698184943</v>
      </c>
      <c r="G21" s="737">
        <f>IF(ISNUMBER(STDEV(G8:G18)),STDEV(G8:G18),"-")</f>
        <v>103.345698184943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23.094010767585029</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5.1503000074031355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uxbLPJ5s6xEtf0oI7LuSqClRk33Ysmeq/wFq/AdMofZQ4WmDVFhjP1Ttqa2o61bFM60pEexBvdzsxwcfuHzw==" saltValue="DEGkGCI/l6/5r1bMLMFO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TORREMOLINOS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eDweUIHir4HwO3SAwPyiWv4mPYsO8F8GRQNANtrAASU/mbplSbMEYXbkfKjM/jmHKOFfDX+cDrv202OlF1XrA==" saltValue="iss3ufxTqXmjzO48Nq3U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TORREMOLINOS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705</v>
      </c>
      <c r="E9" s="404">
        <f t="shared" ref="E9:E13" si="0">IF(ISNUMBER(D9/B9),D9/B9," - ")</f>
        <v>141</v>
      </c>
      <c r="F9" s="403">
        <f>IF(ISNUMBER(Datos!N9),Datos!N9," - ")</f>
        <v>1723</v>
      </c>
      <c r="G9" s="404">
        <f t="shared" ref="G9:G13" si="1">IF(ISNUMBER(F9/B9),F9/B9," - ")</f>
        <v>344.6</v>
      </c>
      <c r="H9" s="403">
        <f>IF(ISNUMBER(Datos!O9),Datos!O9," - ")</f>
        <v>1071</v>
      </c>
      <c r="I9" s="404">
        <f>IF(ISNUMBER(H9/B9),H9/B9," - ")</f>
        <v>214.2</v>
      </c>
      <c r="BZ9" s="1186">
        <f>Datos!EZ9</f>
        <v>0</v>
      </c>
    </row>
    <row r="10" spans="1:78">
      <c r="A10" s="402" t="str">
        <f>Datos!A10</f>
        <v>Jdos. Violencia contra la mujer</v>
      </c>
      <c r="B10" s="427">
        <f>Datos!AO10</f>
        <v>1</v>
      </c>
      <c r="C10" s="410">
        <f>Datos!AQ10</f>
        <v>0</v>
      </c>
      <c r="D10" s="403">
        <f>IF(ISNUMBER(Datos!M10),Datos!M10," - ")</f>
        <v>9</v>
      </c>
      <c r="E10" s="404">
        <f>IF(ISNUMBER(D10/B10),D10/B10," - ")</f>
        <v>9</v>
      </c>
      <c r="F10" s="403">
        <f>IF(ISNUMBER(Datos!N10),Datos!N10," - ")</f>
        <v>22</v>
      </c>
      <c r="G10" s="404">
        <f>IF(ISNUMBER(F10/B10),F10/B10," - ")</f>
        <v>22</v>
      </c>
      <c r="H10" s="403">
        <f>IF(ISNUMBER(Datos!O10),Datos!O10," - ")</f>
        <v>13</v>
      </c>
      <c r="I10" s="404">
        <f t="shared" ref="I10:I12" si="2">IF(ISNUMBER(H10/B10),H10/B10," - ")</f>
        <v>13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5</v>
      </c>
      <c r="C13" s="851">
        <f>Datos!AR13</f>
        <v>5</v>
      </c>
      <c r="D13" s="849">
        <f>SUBTOTAL(9,D9:D12)</f>
        <v>714</v>
      </c>
      <c r="E13" s="850">
        <f t="shared" si="0"/>
        <v>142.80000000000001</v>
      </c>
      <c r="F13" s="849">
        <f>SUBTOTAL(9,F9:F12)</f>
        <v>1745</v>
      </c>
      <c r="G13" s="850">
        <f t="shared" si="1"/>
        <v>349</v>
      </c>
      <c r="H13" s="849">
        <f>SUBTOTAL(9,H9:H12)</f>
        <v>1084</v>
      </c>
      <c r="I13" s="850">
        <f>IF(ISNUMBER(H13/B13),H13/B13," - ")</f>
        <v>216.8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285</v>
      </c>
      <c r="E15" s="404">
        <f t="shared" ref="E15:E18" si="3">IF(ISNUMBER(D15/B15),D15/B15," - ")</f>
        <v>57</v>
      </c>
      <c r="F15" s="403">
        <f>IF(ISNUMBER(Datos!N15),Datos!N15," - ")</f>
        <v>2185</v>
      </c>
      <c r="G15" s="404">
        <f t="shared" ref="G15:G18" si="4">IF(ISNUMBER(F15/B15),F15/B15," - ")</f>
        <v>437</v>
      </c>
      <c r="H15" s="403">
        <f>IF(ISNUMBER(Datos!O15),Datos!O15," - ")</f>
        <v>26</v>
      </c>
      <c r="I15" s="404">
        <f t="shared" ref="I15:I17" si="5">IF(ISNUMBER(H15/B15),H15/B15," - ")</f>
        <v>5.2</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74</v>
      </c>
      <c r="G17" s="404">
        <f>IF(ISNUMBER(F17/B17),F17/B17," - ")</f>
        <v>74</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289</v>
      </c>
      <c r="E18" s="850">
        <f t="shared" si="3"/>
        <v>57.8</v>
      </c>
      <c r="F18" s="849">
        <f>SUBTOTAL(9,F15:F17)</f>
        <v>2259</v>
      </c>
      <c r="G18" s="850">
        <f t="shared" si="4"/>
        <v>451.8</v>
      </c>
      <c r="H18" s="849">
        <f>SUBTOTAL(9,H15:H17)</f>
        <v>26</v>
      </c>
      <c r="I18" s="850">
        <f>IF(ISNUMBER(H18/B18),H18/B18," - ")</f>
        <v>5.2</v>
      </c>
      <c r="BZ18" s="1186"/>
    </row>
    <row r="19" spans="1:78" ht="14.25" thickTop="1" thickBot="1">
      <c r="A19" s="793" t="str">
        <f>Datos!A19</f>
        <v>TOTAL JURISDICCIONES</v>
      </c>
      <c r="B19" s="794">
        <f>Datos!AP19</f>
        <v>10</v>
      </c>
      <c r="C19" s="794">
        <f>Datos!AR19</f>
        <v>10</v>
      </c>
      <c r="D19" s="794">
        <f>SUBTOTAL(9,D8:D18)</f>
        <v>1003</v>
      </c>
      <c r="E19" s="795">
        <f>IF(ISNUMBER(D19/B19),D19/B19," - ")</f>
        <v>100.3</v>
      </c>
      <c r="F19" s="794">
        <f>SUBTOTAL(9,F8:F18)</f>
        <v>4004</v>
      </c>
      <c r="G19" s="795">
        <f>IF(ISNUMBER(F19/B19),F19/B19," - ")</f>
        <v>400.4</v>
      </c>
      <c r="H19" s="794">
        <f>SUBTOTAL(9,H8:H18)</f>
        <v>1110</v>
      </c>
      <c r="I19" s="795">
        <f>IF(ISNUMBER(H19/B19),H19/B19," - ")</f>
        <v>111</v>
      </c>
    </row>
    <row r="22" spans="1:78">
      <c r="A22" s="391" t="str">
        <f>Criterios!A4</f>
        <v>Fecha Informe: 24 sep. 2025</v>
      </c>
    </row>
    <row r="27" spans="1:78">
      <c r="A27" s="414"/>
    </row>
  </sheetData>
  <sheetProtection algorithmName="SHA-512" hashValue="TVaaScjcFZLrIxhD8Egg8JImUskWS9ksWEEpiOeElO7OtBL9n9XtJ0vyaMTs77tlzyzssE7HXe/VkB+E6IIjNg==" saltValue="mPSBCeDLds8PkDyU1+Aw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TORREMOLINOS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523</v>
      </c>
      <c r="C9" s="434">
        <f>IF(ISNUMBER(Datos!Q9),Datos!Q9," - ")</f>
        <v>326</v>
      </c>
      <c r="D9" s="408">
        <f>IF(ISNUMBER(Datos!R9),Datos!R9," - ")</f>
        <v>7179</v>
      </c>
    </row>
    <row r="10" spans="1:4">
      <c r="A10" s="402" t="str">
        <f>Datos!A10</f>
        <v>Jdos. Violencia contra la mujer</v>
      </c>
      <c r="B10" s="433">
        <f>IF(ISNUMBER(Datos!P10),Datos!P10," - ")</f>
        <v>7</v>
      </c>
      <c r="C10" s="434">
        <f>IF(ISNUMBER(Datos!Q10),Datos!Q10," - ")</f>
        <v>8</v>
      </c>
      <c r="D10" s="408">
        <f>IF(ISNUMBER(Datos!R10),Datos!R10," - ")</f>
        <v>78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530</v>
      </c>
      <c r="C13" s="853">
        <f>SUBTOTAL(9,C9:C12)</f>
        <v>334</v>
      </c>
      <c r="D13" s="851">
        <f>SUBTOTAL(9,D9:D12)</f>
        <v>7257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39</v>
      </c>
      <c r="C15" s="434">
        <f>IF(ISNUMBER(Datos!Q15),Datos!Q15," - ")</f>
        <v>36</v>
      </c>
      <c r="D15" s="408">
        <f>IF(ISNUMBER(Datos!R15),Datos!R15," - ")</f>
        <v>157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v>
      </c>
      <c r="C17" s="434">
        <f>IF(ISNUMBER(Datos!Q17),Datos!Q17," - ")</f>
        <v>2</v>
      </c>
      <c r="D17" s="408">
        <f>IF(ISNUMBER(Datos!R17),Datos!R17," - ")</f>
        <v>8</v>
      </c>
    </row>
    <row r="18" spans="1:4" ht="14.25" thickTop="1" thickBot="1">
      <c r="A18" s="848" t="str">
        <f>Datos!A18</f>
        <v>TOTAL</v>
      </c>
      <c r="B18" s="849">
        <f>SUBTOTAL(9,B15:B17)</f>
        <v>43</v>
      </c>
      <c r="C18" s="853">
        <f>SUBTOTAL(9,C15:C17)</f>
        <v>38</v>
      </c>
      <c r="D18" s="851">
        <f>SUBTOTAL(9,D15:D17)</f>
        <v>165</v>
      </c>
    </row>
    <row r="19" spans="1:4" ht="16.5" customHeight="1" thickTop="1" thickBot="1">
      <c r="A19" s="793" t="str">
        <f>Datos!A19</f>
        <v>TOTAL JURISDICCIONES</v>
      </c>
      <c r="B19" s="798">
        <f>SUBTOTAL(9,B8:B18)</f>
        <v>573</v>
      </c>
      <c r="C19" s="799">
        <f>SUBTOTAL(9,C8:C18)</f>
        <v>372</v>
      </c>
      <c r="D19" s="800">
        <f>SUBTOTAL(9,D8:D18)</f>
        <v>7422</v>
      </c>
    </row>
    <row r="20" spans="1:4" ht="7.5" customHeight="1"/>
    <row r="21" spans="1:4" ht="6" customHeight="1"/>
    <row r="22" spans="1:4">
      <c r="A22" s="391" t="str">
        <f>Criterios!A4</f>
        <v>Fecha Informe: 24 sep. 2025</v>
      </c>
    </row>
    <row r="27" spans="1:4">
      <c r="A27" s="414"/>
    </row>
  </sheetData>
  <sheetProtection algorithmName="SHA-512" hashValue="HXy90+wPL9T3Ezk+JZ+cXS1MtXsggD+51X6J8e/rpMzuLWaGC1bXbE57V81BqHQckMN6X3Bmo85myihirsSoMw==" saltValue="X+xbXypaWXU2nLXDofW+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TORREMOLINOS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0.13773431132844335</v>
      </c>
      <c r="C9" s="456">
        <f>IF(ISNUMBER(
   IF(J_V="SI",(Datos!J9-Datos!T9)/Datos!T9,(Datos!J9+Datos!Z9-(Datos!T9+Datos!AH9))/(Datos!T9+Datos!AH9))
     ),IF(J_V="SI",(Datos!J9-Datos!T9)/Datos!T9,(Datos!J9+Datos!Z9-(Datos!T9+Datos!AH9))/(Datos!T9+Datos!AH9))," - ")</f>
        <v>0.12820512820512819</v>
      </c>
      <c r="D9" s="456">
        <f>IF(ISNUMBER(
   IF(J_V="SI",(Datos!K9-Datos!U9)/Datos!U9,(Datos!K9+Datos!AA9-(Datos!U9+Datos!AI9))/(Datos!U9+Datos!AI9))
     ),IF(J_V="SI",(Datos!K9-Datos!U9)/Datos!U9,(Datos!K9+Datos!AA9-(Datos!U9+Datos!AI9))/(Datos!U9+Datos!AI9))," - ")</f>
        <v>0.40918849291541431</v>
      </c>
      <c r="E9" s="456">
        <f>IF(ISNUMBER(
   IF(J_V="SI",(Datos!L9-Datos!V9)/Datos!V9,(Datos!L9+Datos!AB9-(Datos!V9+Datos!AJ9))/(Datos!V9+Datos!AJ9))
     ),IF(J_V="SI",(Datos!L9-Datos!V9)/Datos!V9,(Datos!L9+Datos!AB9-(Datos!V9+Datos!AJ9))/(Datos!V9+Datos!AJ9))," - ")</f>
        <v>0.10123617436564737</v>
      </c>
      <c r="F9" s="456">
        <f>IF(ISNUMBER((Datos!M9-Datos!W9)/Datos!W9),(Datos!M9-Datos!W9)/Datos!W9," - ")</f>
        <v>0.41</v>
      </c>
      <c r="G9" s="457">
        <f>IF(ISNUMBER((Datos!N9-Datos!X9)/Datos!X9),(Datos!N9-Datos!X9)/Datos!X9," - ")</f>
        <v>0.63162878787878785</v>
      </c>
      <c r="H9" s="455">
        <f>IF(ISNUMBER(((NºAsuntos!G9/NºAsuntos!E9)-Datos!BD9)/Datos!BD9),((NºAsuntos!G9/NºAsuntos!E9)-Datos!BD9)/Datos!BD9," - ")</f>
        <v>0.24905343690229909</v>
      </c>
      <c r="I9" s="456">
        <f>IF(ISNUMBER(((NºAsuntos!I9/NºAsuntos!G9)-Datos!BE9)/Datos!BE9),((NºAsuntos!I9/NºAsuntos!G9)-Datos!BE9)/Datos!BE9," - ")</f>
        <v>-0.21853167273077612</v>
      </c>
      <c r="J9" s="461">
        <f>IF(ISNUMBER((('Resol  Asuntos'!D9/NºAsuntos!G9)-Datos!BF9)/Datos!BF9),(('Resol  Asuntos'!D9/NºAsuntos!G9)-Datos!BF9)/Datos!BF9," - ")</f>
        <v>-0.52624248656584127</v>
      </c>
      <c r="K9" s="462">
        <f>IF(ISNUMBER((((NºAsuntos!C9+NºAsuntos!E9)/NºAsuntos!G9)-Datos!BG9)/Datos!BG9),(((NºAsuntos!C9+NºAsuntos!E9)/NºAsuntos!G9)-Datos!BG9)/Datos!BG9," - ")</f>
        <v>-0.19442238513856344</v>
      </c>
    </row>
    <row r="10" spans="1:11">
      <c r="A10" s="402" t="str">
        <f>Datos!A10</f>
        <v>Jdos. Violencia contra la mujer</v>
      </c>
      <c r="B10" s="455">
        <f>IF(ISNUMBER((Datos!I10-Datos!S10)/Datos!S10),(Datos!I10-Datos!S10)/Datos!S10," - ")</f>
        <v>9.815950920245399E-2</v>
      </c>
      <c r="C10" s="456">
        <f>IF(ISNUMBER((Datos!J10-Datos!T10)/Datos!T10),(Datos!J10-Datos!T10)/Datos!T10," - ")</f>
        <v>-0.39583333333333331</v>
      </c>
      <c r="D10" s="456">
        <f>IF(ISNUMBER((Datos!K10-Datos!U10)/Datos!U10),(Datos!K10-Datos!U10)/Datos!U10," - ")</f>
        <v>1.8571428571428572</v>
      </c>
      <c r="E10" s="456">
        <f>IF(ISNUMBER((Datos!L10-Datos!V10)/Datos!V10),(Datos!L10-Datos!V10)/Datos!V10," - ")</f>
        <v>-0.14720812182741116</v>
      </c>
      <c r="F10" s="456">
        <f>IF(ISNUMBER((Datos!M10-Datos!W10)/Datos!W10),(Datos!M10-Datos!W10)/Datos!W10," - ")</f>
        <v>3.5</v>
      </c>
      <c r="G10" s="457">
        <f>IF(ISNUMBER((Datos!N10-Datos!X10)/Datos!X10),(Datos!N10-Datos!X10)/Datos!X10," - ")</f>
        <v>2.6666666666666665</v>
      </c>
      <c r="H10" s="455">
        <f>IF(ISNUMBER(((NºAsuntos!G10/NºAsuntos!E10)-Datos!BD10)/Datos!BD10),((NºAsuntos!G10/NºAsuntos!E10)-Datos!BD10)/Datos!BD10," - ")</f>
        <v>3.729064039408867</v>
      </c>
      <c r="I10" s="456">
        <f>IF(ISNUMBER(((NºAsuntos!I10/NºAsuntos!G10)-Datos!BE10)/Datos!BE10),((NºAsuntos!I10/NºAsuntos!G10)-Datos!BE10)/Datos!BE10," - ")</f>
        <v>-0.70152284263959386</v>
      </c>
      <c r="J10" s="461">
        <f>IF(ISNUMBER((('Resol  Asuntos'!D10/NºAsuntos!G10)-Datos!BF10)/Datos!BF10),(('Resol  Asuntos'!D10/NºAsuntos!G10)-Datos!BF10)/Datos!BF10," - ")</f>
        <v>0.57500000000000018</v>
      </c>
      <c r="K10" s="462">
        <f>IF(ISNUMBER((((NºAsuntos!C10+NºAsuntos!E10)/NºAsuntos!G10)-Datos!BG10)/Datos!BG10),(((NºAsuntos!C10+NºAsuntos!E10)/NºAsuntos!G10)-Datos!BG10)/Datos!BG10," - ")</f>
        <v>-0.65497630331753542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0.13687707641196012</v>
      </c>
      <c r="C13" s="855">
        <f>IF(ISNUMBER(
   IF(J_V="SI",(Datos!J13-Datos!T13)/Datos!T13,(Datos!J13+Datos!Z13-(Datos!T13+Datos!AH13))/(Datos!T13+Datos!AH13))
     ),IF(J_V="SI",(Datos!J13-Datos!T13)/Datos!T13,(Datos!J13+Datos!Z13-(Datos!T13+Datos!AH13))/(Datos!T13+Datos!AH13))," - ")</f>
        <v>0.11888888888888889</v>
      </c>
      <c r="D13" s="855">
        <f>IF(ISNUMBER(
   IF(J_V="SI",(Datos!K13-Datos!U13)/Datos!U13,(Datos!K13+Datos!AA13-(Datos!U13+Datos!AI13))/(Datos!U13+Datos!AI13))
     ),IF(J_V="SI",(Datos!K13-Datos!U13)/Datos!U13,(Datos!K13+Datos!AA13-(Datos!U13+Datos!AI13))/(Datos!U13+Datos!AI13))," - ")</f>
        <v>0.41784037558685444</v>
      </c>
      <c r="E13" s="855">
        <f>IF(ISNUMBER(
   IF(J_V="SI",(Datos!L13-Datos!V13)/Datos!V13,(Datos!L13+Datos!AB13-(Datos!V13+Datos!AJ13))/(Datos!V13+Datos!AJ13))
     ),IF(J_V="SI",(Datos!L13-Datos!V13)/Datos!V13,(Datos!L13+Datos!AB13-(Datos!V13+Datos!AJ13))/(Datos!V13+Datos!AJ13))," - ")</f>
        <v>9.5026642984014212E-2</v>
      </c>
      <c r="F13" s="856">
        <f>IF(ISNUMBER((Datos!M13-Datos!W13)/Datos!W13),(Datos!M13-Datos!W13)/Datos!W13," - ")</f>
        <v>0.42231075697211157</v>
      </c>
      <c r="G13" s="857">
        <f>IF(ISNUMBER((Datos!N13-Datos!X13)/Datos!X13),(Datos!N13-Datos!X13)/Datos!X13," - ")</f>
        <v>0.64312617702448216</v>
      </c>
      <c r="H13" s="857">
        <f>IF(ISNUMBER(((NºAsuntos!G13/NºAsuntos!E13)-Datos!BD13)/Datos!BD13),((NºAsuntos!G13/NºAsuntos!E13)-Datos!BD13)/Datos!BD13," - ")</f>
        <v>0.26718603577772493</v>
      </c>
      <c r="I13" s="857">
        <f>IF(ISNUMBER(((NºAsuntos!I13/NºAsuntos!G13)-Datos!BE13)/Datos!BE13),((NºAsuntos!I13/NºAsuntos!G13)-Datos!BE13)/Datos!BE13," - ")</f>
        <v>-0.22767988425299662</v>
      </c>
      <c r="J13" s="857">
        <f>IF(ISNUMBER((('Resol  Asuntos'!D13/NºAsuntos!G13)-Datos!BF13)/Datos!BF13),(('Resol  Asuntos'!D13/NºAsuntos!G13)-Datos!BF13)/Datos!BF13," - ")</f>
        <v>-0.52402383605202862</v>
      </c>
      <c r="K13" s="857">
        <f>IF(ISNUMBER((((NºAsuntos!C13+NºAsuntos!E13)/NºAsuntos!G13)-Datos!BG13)/Datos!BG13),(((NºAsuntos!C13+NºAsuntos!E13)/NºAsuntos!G13)-Datos!BG13)/Datos!BG13," - ")</f>
        <v>-0.20151297786557434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0.2097323600973236</v>
      </c>
      <c r="C15" s="456">
        <f>IF(ISNUMBER(
   IF(D_I="SI",(Datos!J15-Datos!T15)/Datos!T15,(Datos!J15+Datos!AD15-(Datos!T15+Datos!AL15))/(Datos!T15+Datos!AL15))
     ),IF(D_I="SI",(Datos!J15-Datos!T15)/Datos!T15,(Datos!J15+Datos!AD15-(Datos!T15+Datos!AL15))/(Datos!T15+Datos!AL15))," - ")</f>
        <v>-7.3914382506929475E-3</v>
      </c>
      <c r="D15" s="456">
        <f>IF(ISNUMBER(
   IF(D_I="SI",(Datos!K15-Datos!U15)/Datos!U15,(Datos!K15+Datos!AE15-(Datos!U15+Datos!AM15))/(Datos!U15+Datos!AM15))
     ),IF(D_I="SI",(Datos!K15-Datos!U15)/Datos!U15,(Datos!K15+Datos!AE15-(Datos!U15+Datos!AM15))/(Datos!U15+Datos!AM15))," - ")</f>
        <v>0.21561473914629697</v>
      </c>
      <c r="E15" s="456">
        <f>IF(ISNUMBER(
   IF(D_I="SI",(Datos!L15-Datos!V15)/Datos!V15,(Datos!L15+Datos!AF15-(Datos!V15+Datos!AN15))/(Datos!V15+Datos!AN15))
     ),IF(D_I="SI",(Datos!L15-Datos!V15)/Datos!V15,(Datos!L15+Datos!AF15-(Datos!V15+Datos!AN15))/(Datos!V15+Datos!AN15))," - ")</f>
        <v>-6.8938807126258717E-2</v>
      </c>
      <c r="F15" s="456">
        <f>IF(ISNUMBER((Datos!M15-Datos!W15)/Datos!W15),(Datos!M15-Datos!W15)/Datos!W15," - ")</f>
        <v>-0.1467065868263473</v>
      </c>
      <c r="G15" s="457">
        <f>IF(ISNUMBER((Datos!N15-Datos!X15)/Datos!X15),(Datos!N15-Datos!X15)/Datos!X15," - ")</f>
        <v>0.36562499999999998</v>
      </c>
      <c r="H15" s="455">
        <f>IF(ISNUMBER(((NºAsuntos!G15/NºAsuntos!E15)-Datos!BD15)/Datos!BD15),((NºAsuntos!G15/NºAsuntos!E15)-Datos!BD15)/Datos!BD15," - ")</f>
        <v>0.22466678808812485</v>
      </c>
      <c r="I15" s="456">
        <f>IF(ISNUMBER(((NºAsuntos!I15/NºAsuntos!G15)-Datos!BE15)/Datos!BE15),((NºAsuntos!I15/NºAsuntos!G15)-Datos!BE15)/Datos!BE15," - ")</f>
        <v>-0.2340820139054848</v>
      </c>
      <c r="J15" s="461">
        <f>IF(ISNUMBER((('Resol  Asuntos'!D15/NºAsuntos!G15)-Datos!BF15)/Datos!BF15),(('Resol  Asuntos'!D15/NºAsuntos!G15)-Datos!BF15)/Datos!BF15," - ")</f>
        <v>-0.29805604876681213</v>
      </c>
      <c r="K15" s="462">
        <f>IF(ISNUMBER((((NºAsuntos!C15+NºAsuntos!E15)/NºAsuntos!G15)-Datos!BG15)/Datos!BG15),(((NºAsuntos!C15+NºAsuntos!E15)/NºAsuntos!G15)-Datos!BG15)/Datos!BG15," - ")</f>
        <v>-0.11422307512216509</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-0.15821501014198783</v>
      </c>
      <c r="C17" s="456">
        <f>IF(ISNUMBER(
   IF(D_I="SI",(Datos!J17-Datos!T17)/Datos!T17,(Datos!J17+Datos!AD17-(Datos!T17+Datos!AL17))/(Datos!T17+Datos!AL17))
     ),IF(D_I="SI",(Datos!J17-Datos!T17)/Datos!T17,(Datos!J17+Datos!AD17-(Datos!T17+Datos!AL17))/(Datos!T17+Datos!AL17))," - ")</f>
        <v>-0.69512195121951215</v>
      </c>
      <c r="D17" s="456">
        <f>IF(ISNUMBER(
   IF(D_I="SI",(Datos!K17-Datos!U17)/Datos!U17,(Datos!K17+Datos!AE17-(Datos!U17+Datos!AM17))/(Datos!U17+Datos!AM17))
     ),IF(D_I="SI",(Datos!K17-Datos!U17)/Datos!U17,(Datos!K17+Datos!AE17-(Datos!U17+Datos!AM17))/(Datos!U17+Datos!AM17))," - ")</f>
        <v>-0.18385650224215247</v>
      </c>
      <c r="E17" s="456">
        <f>IF(ISNUMBER(
   IF(D_I="SI",(Datos!L17-Datos!V17)/Datos!V17,(Datos!L17+Datos!AF17-(Datos!V17+Datos!AN17))/(Datos!V17+Datos!AN17))
     ),IF(D_I="SI",(Datos!L17-Datos!V17)/Datos!V17,(Datos!L17+Datos!AF17-(Datos!V17+Datos!AN17))/(Datos!V17+Datos!AN17))," - ")</f>
        <v>-0.40116279069767441</v>
      </c>
      <c r="F17" s="456">
        <f>IF(ISNUMBER((Datos!M17-Datos!W17)/Datos!W17),(Datos!M17-Datos!W17)/Datos!W17," - ")</f>
        <v>-0.8</v>
      </c>
      <c r="G17" s="457">
        <f>IF(ISNUMBER((Datos!N17-Datos!X17)/Datos!X17),(Datos!N17-Datos!X17)/Datos!X17," - ")</f>
        <v>-0.29523809523809524</v>
      </c>
      <c r="H17" s="455">
        <f>IF(ISNUMBER(((NºAsuntos!G17/NºAsuntos!E17)-Datos!BD17)/Datos!BD17),((NºAsuntos!G17/NºAsuntos!E17)-Datos!BD17)/Datos!BD17," - ")</f>
        <v>1.6769506726457399</v>
      </c>
      <c r="I17" s="456">
        <f>IF(ISNUMBER(((NºAsuntos!I17/NºAsuntos!G17)-Datos!BE17)/Datos!BE17),((NºAsuntos!I17/NºAsuntos!G17)-Datos!BE17)/Datos!BE17," - ")</f>
        <v>-0.26625990288780987</v>
      </c>
      <c r="J17" s="461">
        <f>IF(ISNUMBER((('Resol  Asuntos'!D17/NºAsuntos!G17)-Datos!BF17)/Datos!BF17),(('Resol  Asuntos'!D17/NºAsuntos!G17)-Datos!BF17)/Datos!BF17," - ")</f>
        <v>-0.75494505494505493</v>
      </c>
      <c r="K17" s="462">
        <f>IF(ISNUMBER((((NºAsuntos!C17+NºAsuntos!E17)/NºAsuntos!G17)-Datos!BG17)/Datos!BG17),(((NºAsuntos!C17+NºAsuntos!E17)/NºAsuntos!G17)-Datos!BG17)/Datos!BG17," - ")</f>
        <v>-0.18757156240241485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0.13854003139717425</v>
      </c>
      <c r="C18" s="855">
        <f>IF(ISNUMBER(
   IF(Criterios!B14="SI",(Datos!J18-Datos!T18)/Datos!T18,(Datos!J18+Datos!AD18-(Datos!T18+Datos!AL18))/(Datos!T18+Datos!AL18))
     ),IF(Criterios!B14="SI",(Datos!J18-Datos!T18)/Datos!T18,(Datos!J18+Datos!AD18-(Datos!T18+Datos!AL18))/(Datos!T18+Datos!AL18))," - ")</f>
        <v>-5.5825937589464643E-2</v>
      </c>
      <c r="D18" s="855">
        <f>IF(ISNUMBER(
   IF(Criterios!B14="SI",(Datos!K18-Datos!U18)/Datos!U18,(Datos!K18+Datos!AE18-(Datos!U18+Datos!AM18))/(Datos!U18+Datos!AM18))
     ),IF(Criterios!B14="SI",(Datos!K18-Datos!U18)/Datos!U18,(Datos!K18+Datos!AE18-(Datos!U18+Datos!AM18))/(Datos!U18+Datos!AM18))," - ")</f>
        <v>0.18556005398110662</v>
      </c>
      <c r="E18" s="855">
        <f>IF(ISNUMBER(
   IF(Criterios!B14="SI",(Datos!L18-Datos!V18)/Datos!V18,(Datos!L18+Datos!AF18-(Datos!V18+Datos!AN18))/(Datos!V18+Datos!AN18))
     ),IF(Criterios!B14="SI",(Datos!L18-Datos!V18)/Datos!V18,(Datos!L18+Datos!AF18-(Datos!V18+Datos!AN18))/(Datos!V18+Datos!AN18))," - ")</f>
        <v>-0.12427372498386055</v>
      </c>
      <c r="F18" s="856">
        <f>IF(ISNUMBER((Datos!M18-Datos!W18)/Datos!W18),(Datos!M18-Datos!W18)/Datos!W18," - ")</f>
        <v>-0.18361581920903955</v>
      </c>
      <c r="G18" s="857">
        <f>IF(ISNUMBER((Datos!N18-Datos!X18)/Datos!X18),(Datos!N18-Datos!X18)/Datos!X18," - ")</f>
        <v>0.32492668621700882</v>
      </c>
      <c r="H18" s="857">
        <f>IF(ISNUMBER(((NºAsuntos!G18/NºAsuntos!E18)-Datos!BD18)/Datos!BD18),((NºAsuntos!G18/NºAsuntos!E18)-Datos!BD18)/Datos!BD18," - ")</f>
        <v>0.25565835917404645</v>
      </c>
      <c r="I18" s="857">
        <f>IF(ISNUMBER(((NºAsuntos!I18/NºAsuntos!G18)-Datos!BE18)/Datos!BE18),((NºAsuntos!I18/NºAsuntos!G18)-Datos!BE18)/Datos!BE18," - ")</f>
        <v>-0.2613395904530913</v>
      </c>
      <c r="J18" s="857">
        <f>IF(ISNUMBER((('Resol  Asuntos'!D18/NºAsuntos!G18)-Datos!BF18)/Datos!BF18),(('Resol  Asuntos'!D18/NºAsuntos!G18)-Datos!BF18)/Datos!BF18," - ")</f>
        <v>-0.31139365057928092</v>
      </c>
      <c r="K18" s="857">
        <f>IF(ISNUMBER((((NºAsuntos!C18+NºAsuntos!E18)/NºAsuntos!G18)-Datos!BG18)/Datos!BG18),(((NºAsuntos!C18+NºAsuntos!E18)/NºAsuntos!G18)-Datos!BG18)/Datos!BG18," - ")</f>
        <v>-0.13445581544515051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0.13729772659585029</v>
      </c>
      <c r="C19" s="802">
        <f>IF(ISNUMBER(
   IF(J_V="SI",(Datos!J19-Datos!T19)/Datos!T19,(Datos!J19+Datos!Z19-(Datos!T19+Datos!AH19))/(Datos!T19+Datos!AH19))
     ),IF(J_V="SI",(Datos!J19-Datos!T19)/Datos!T19,(Datos!J19+Datos!Z19-(Datos!T19+Datos!AH19))/(Datos!T19+Datos!AH19))," - ")</f>
        <v>2.0345551429032778E-2</v>
      </c>
      <c r="D19" s="802">
        <f>IF(ISNUMBER(
   IF(J_V="SI",(Datos!K19-Datos!U19)/Datos!U19,(Datos!K19+Datos!AA19-(Datos!U19+Datos!AI19))/(Datos!U19+Datos!AI19))
     ),IF(J_V="SI",(Datos!K19-Datos!U19)/Datos!U19,(Datos!K19+Datos!AA19-(Datos!U19+Datos!AI19))/(Datos!U19+Datos!AI19))," - ")</f>
        <v>0.28811004333898627</v>
      </c>
      <c r="E19" s="802">
        <f>IF(ISNUMBER(
   IF(J_V="SI",(Datos!L19-Datos!V19)/Datos!V19,(Datos!L19+Datos!AB19-(Datos!V19+Datos!AJ19))/(Datos!V19+Datos!AJ19))
     ),IF(J_V="SI",(Datos!L19-Datos!V19)/Datos!V19,(Datos!L19+Datos!AB19-(Datos!V19+Datos!AJ19))/(Datos!V19+Datos!AJ19))," - ")</f>
        <v>3.3151183970856105E-2</v>
      </c>
      <c r="F19" s="803">
        <f>IF(ISNUMBER((Datos!M19-Datos!W19)/Datos!W19),(Datos!M19-Datos!W19)/Datos!W19," - ")</f>
        <v>0.17172897196261683</v>
      </c>
      <c r="G19" s="804">
        <f>IF(ISNUMBER((Datos!N19-Datos!X19)/Datos!X19),(Datos!N19-Datos!X19)/Datos!X19," - ")</f>
        <v>0.44705457173834479</v>
      </c>
      <c r="H19" s="805">
        <f>IF(ISNUMBER((Tasas!B19-Datos!BD19)/Datos!BD19),(Tasas!B19-Datos!BD19)/Datos!BD19," - ")</f>
        <v>0.26242530438334255</v>
      </c>
      <c r="I19" s="806">
        <f>IF(ISNUMBER((Tasas!C19-Datos!BE19)/Datos!BE19),(Tasas!C19-Datos!BE19)/Datos!BE19," - ")</f>
        <v>-0.19793251414082311</v>
      </c>
      <c r="J19" s="807">
        <f>IF(ISNUMBER((Tasas!D19-Datos!BF19)/Datos!BF19),(Tasas!D19-Datos!BF19)/Datos!BF19," - ")</f>
        <v>-0.44854094802221856</v>
      </c>
      <c r="K19" s="807">
        <f>IF(ISNUMBER((Tasas!E19-Datos!BG19)/Datos!BG19),(Tasas!E19-Datos!BG19)/Datos!BG19," - ")</f>
        <v>-0.15164841610334687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blYE2iQ1DiJfIPQI1bB85Z//yV68PBC6nKJpiAgG+Ji4G4KttOvp6k/rLok7ceKy5kWjjgAex/JcT6bxlm21A==" saltValue="jzCahnVhro6wwodErHyN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TORREMOLINOS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1.0969251336898396</v>
      </c>
      <c r="C9" s="443">
        <f>IF(ISNUMBER(NºAsuntos!I9/NºAsuntos!G9),NºAsuntos!I9/NºAsuntos!G9," - ")</f>
        <v>2.5786106032906764</v>
      </c>
      <c r="D9" s="444">
        <f>IF(ISNUMBER('Resol  Asuntos'!D9/NºAsuntos!G9),'Resol  Asuntos'!D9/NºAsuntos!G9," - ")</f>
        <v>0.21480804387568556</v>
      </c>
      <c r="E9" s="445">
        <f>IF(ISNUMBER((NºAsuntos!C9+NºAsuntos!E9)/NºAsuntos!G9),(NºAsuntos!C9+NºAsuntos!E9)/NºAsuntos!G9," - ")</f>
        <v>3.4637416209628276</v>
      </c>
      <c r="G9" s="463"/>
    </row>
    <row r="10" spans="1:7">
      <c r="A10" s="402" t="str">
        <f>Datos!A10</f>
        <v>Jdos. Violencia contra la mujer</v>
      </c>
      <c r="B10" s="442">
        <f>IF(ISNUMBER(NºAsuntos!G10/NºAsuntos!E10),NºAsuntos!G10/NºAsuntos!E10," - ")</f>
        <v>1.3793103448275863</v>
      </c>
      <c r="C10" s="443">
        <f>IF(ISNUMBER(NºAsuntos!I10/NºAsuntos!G10),NºAsuntos!I10/NºAsuntos!G10," - ")</f>
        <v>4.2</v>
      </c>
      <c r="D10" s="444">
        <f>IF(ISNUMBER('Resol  Asuntos'!D10/NºAsuntos!G10),'Resol  Asuntos'!D10/NºAsuntos!G10," - ")</f>
        <v>0.22500000000000001</v>
      </c>
      <c r="E10" s="445">
        <f>IF(ISNUMBER((NºAsuntos!C10+NºAsuntos!E10)/NºAsuntos!G10),(NºAsuntos!C10+NºAsuntos!E10)/NºAsuntos!G10," - ")</f>
        <v>5.2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1.0996358821582257</v>
      </c>
      <c r="C13" s="859">
        <f>IF(ISNUMBER(NºAsuntos!I13/NºAsuntos!G13),NºAsuntos!I13/NºAsuntos!G13," - ")</f>
        <v>2.5981336544250451</v>
      </c>
      <c r="D13" s="860">
        <f>IF(ISNUMBER('Resol  Asuntos'!D13/NºAsuntos!G13),'Resol  Asuntos'!D13/NºAsuntos!G13," - ")</f>
        <v>0.21493076459963878</v>
      </c>
      <c r="E13" s="861">
        <f>IF(ISNUMBER((NºAsuntos!C13+NºAsuntos!E13)/NºAsuntos!G13),(NºAsuntos!C13+NºAsuntos!E13)/NºAsuntos!G13," - ")</f>
        <v>3.4846478025285972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1.0338194228979212</v>
      </c>
      <c r="C15" s="443">
        <f>IF(ISNUMBER(NºAsuntos!I15/NºAsuntos!G15),NºAsuntos!I15/NºAsuntos!G15," - ")</f>
        <v>0.72148859543817523</v>
      </c>
      <c r="D15" s="444">
        <f>IF(ISNUMBER('Resol  Asuntos'!D15/NºAsuntos!G15),'Resol  Asuntos'!D15/NºAsuntos!G15," - ")</f>
        <v>8.5534213685474189E-2</v>
      </c>
      <c r="E15" s="445">
        <f>IF(ISNUMBER((NºAsuntos!C15+NºAsuntos!E15)/NºAsuntos!G15),(NºAsuntos!C15+NºAsuntos!E15)/NºAsuntos!G15," - ")</f>
        <v>1.7133853541416566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2.4266666666666667</v>
      </c>
      <c r="C17" s="443">
        <f>IF(ISNUMBER(NºAsuntos!I17/NºAsuntos!G17),NºAsuntos!I17/NºAsuntos!G17," - ")</f>
        <v>1.6978021978021978</v>
      </c>
      <c r="D17" s="444">
        <f>IF(ISNUMBER('Resol  Asuntos'!D17/NºAsuntos!G17),'Resol  Asuntos'!D17/NºAsuntos!G17," - ")</f>
        <v>2.197802197802198E-2</v>
      </c>
      <c r="E17" s="445">
        <f>IF(ISNUMBER((NºAsuntos!C17+NºAsuntos!E17)/NºAsuntos!G17),(NºAsuntos!C17+NºAsuntos!E17)/NºAsuntos!G17," - ")</f>
        <v>2.6923076923076925</v>
      </c>
      <c r="G17" s="463"/>
    </row>
    <row r="18" spans="1:7" ht="14.25" thickTop="1" thickBot="1">
      <c r="A18" s="848" t="str">
        <f>Datos!A18</f>
        <v>TOTAL</v>
      </c>
      <c r="B18" s="858">
        <f>IF(ISNUMBER(NºAsuntos!G18/NºAsuntos!E18),NºAsuntos!G18/NºAsuntos!E18," - ")</f>
        <v>1.0654942389326865</v>
      </c>
      <c r="C18" s="859">
        <f>IF(ISNUMBER(NºAsuntos!I18/NºAsuntos!G18),NºAsuntos!I18/NºAsuntos!G18," - ")</f>
        <v>0.77205463858850309</v>
      </c>
      <c r="D18" s="862">
        <f>IF(ISNUMBER('Resol  Asuntos'!D18/NºAsuntos!G18),'Resol  Asuntos'!D18/NºAsuntos!G18," - ")</f>
        <v>8.2242458736482643E-2</v>
      </c>
      <c r="E18" s="861">
        <f>IF(ISNUMBER((NºAsuntos!C18+NºAsuntos!E18)/NºAsuntos!G18),(NºAsuntos!C18+NºAsuntos!E18)/NºAsuntos!G18," - ")</f>
        <v>1.7640865110984634</v>
      </c>
      <c r="G18" s="463"/>
    </row>
    <row r="19" spans="1:7" ht="15.75" customHeight="1" thickTop="1" thickBot="1">
      <c r="A19" s="793" t="str">
        <f>Datos!A19</f>
        <v>TOTAL JURISDICCIONES</v>
      </c>
      <c r="B19" s="808">
        <f>IF(ISNUMBER(NºAsuntos!G19/NºAsuntos!E19),NºAsuntos!G19/NºAsuntos!E19," - ")</f>
        <v>1.0818167431555625</v>
      </c>
      <c r="C19" s="809">
        <f>IF(ISNUMBER(NºAsuntos!I19/NºAsuntos!G19),NºAsuntos!I19/NºAsuntos!G19," - ")</f>
        <v>1.6594499707431247</v>
      </c>
      <c r="D19" s="810">
        <f>IF(ISNUMBER('Resol  Asuntos'!D19/NºAsuntos!G19),'Resol  Asuntos'!D19/NºAsuntos!G19," - ")</f>
        <v>0.14672322995904039</v>
      </c>
      <c r="E19" s="811">
        <f>IF(ISNUMBER((NºAsuntos!C19+NºAsuntos!E19)/NºAsuntos!G19),(NºAsuntos!C19+NºAsuntos!E19)/NºAsuntos!G19," - ")</f>
        <v>2.6002047981275598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fRR24BahTjmIDF79eaUozzhr3yLvSPuLX8oim7mhh2fu7bDAQ3fLfC8FmTsc4OiqKW8OoZRBgzeCHwJ+RAQTA==" saltValue="mvqnNh/SlDxcweD8/qjh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TORREMOLINOS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523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326</v>
      </c>
      <c r="Y9" s="334">
        <f>SUM(W9:X9)</f>
        <v>326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7179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705</v>
      </c>
      <c r="AJ9" s="229" t="str">
        <f>IF(ISNUMBER(Datos!BW9),Datos!BW9," - ")</f>
        <v xml:space="preserve"> - </v>
      </c>
      <c r="AK9" s="228" t="str">
        <f>IF(ISNUMBER(Datos!BX9),Datos!BX9," - ")</f>
        <v xml:space="preserve"> - </v>
      </c>
      <c r="AL9" s="243">
        <f>IF(ISNUMBER(NºAsuntos!G9/NºAsuntos!E9),NºAsuntos!G9/NºAsuntos!E9," - ")</f>
        <v>1.0969251336898396</v>
      </c>
      <c r="AM9" s="260">
        <f>IF(ISNUMBER(((NºAsuntos!I9/NºAsuntos!G9)*11)/factor_trimestre),((NºAsuntos!I9/NºAsuntos!G9)*11)/factor_trimestre," - ")</f>
        <v>7.7358318098720291</v>
      </c>
      <c r="AN9" s="244">
        <f>IF(ISNUMBER('Resol  Asuntos'!D9/NºAsuntos!G9),'Resol  Asuntos'!D9/NºAsuntos!G9," - ")</f>
        <v>0.21480804387568556</v>
      </c>
      <c r="AO9" s="245">
        <f>IF(ISNUMBER((NºAsuntos!C9+NºAsuntos!E9)/NºAsuntos!G9),(NºAsuntos!C9+NºAsuntos!E9)/NºAsuntos!G9," - ")</f>
        <v>3.4637416209628276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179</v>
      </c>
      <c r="G10" s="333">
        <f>IF(ISNUMBER(Datos!I10),Datos!I10," - ")</f>
        <v>179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40</v>
      </c>
      <c r="X10" s="226">
        <f>IF(ISNUMBER(Datos!Q10),Datos!Q10," - ")</f>
        <v>8</v>
      </c>
      <c r="Y10" s="334">
        <f t="shared" ref="Y10:Y12" si="0">SUM(W10:X10)</f>
        <v>48</v>
      </c>
      <c r="Z10" s="335" t="str">
        <f>IF(ISNUMBER(Datos!CC10),Datos!CC10," - ")</f>
        <v xml:space="preserve"> - </v>
      </c>
      <c r="AA10" s="332">
        <f>IF(ISNUMBER(Datos!L10),Datos!L10,"-")</f>
        <v>168</v>
      </c>
      <c r="AB10" s="334">
        <f>IF(ISNUMBER(Datos!R10),Datos!R10," - ")</f>
        <v>78</v>
      </c>
      <c r="AC10" s="334">
        <f t="shared" ref="AC10:AC12" si="1">IF(ISNUMBER(AA10+AB10),AA10+AB10," - ")</f>
        <v>246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1.3793103448275863</v>
      </c>
      <c r="AM10" s="260">
        <f>IF(ISNUMBER(((NºAsuntos!I10/NºAsuntos!G10)*11)/factor_trimestre),((NºAsuntos!I10/NºAsuntos!G10)*11)/factor_trimestre," - ")</f>
        <v>12.600000000000001</v>
      </c>
      <c r="AN10" s="244">
        <f>IF(ISNUMBER('Resol  Asuntos'!D10/NºAsuntos!G10),'Resol  Asuntos'!D10/NºAsuntos!G10," - ")</f>
        <v>0.22500000000000001</v>
      </c>
      <c r="AO10" s="245">
        <f>IF(ISNUMBER((NºAsuntos!C10+NºAsuntos!E10)/NºAsuntos!G10),(NºAsuntos!C10+NºAsuntos!E10)/NºAsuntos!G10," - ")</f>
        <v>5.2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179</v>
      </c>
      <c r="G13" s="866">
        <f t="shared" si="3"/>
        <v>179</v>
      </c>
      <c r="H13" s="865">
        <f t="shared" si="3"/>
        <v>0</v>
      </c>
      <c r="I13" s="867">
        <f t="shared" si="3"/>
        <v>0</v>
      </c>
      <c r="J13" s="867">
        <f t="shared" si="3"/>
        <v>0</v>
      </c>
      <c r="K13" s="867">
        <f t="shared" si="3"/>
        <v>0</v>
      </c>
      <c r="L13" s="867">
        <f t="shared" si="3"/>
        <v>530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40</v>
      </c>
      <c r="X13" s="867">
        <f t="shared" si="4"/>
        <v>334</v>
      </c>
      <c r="Y13" s="868">
        <f t="shared" si="4"/>
        <v>374</v>
      </c>
      <c r="Z13" s="868">
        <f t="shared" si="4"/>
        <v>0</v>
      </c>
      <c r="AA13" s="868">
        <f t="shared" si="4"/>
        <v>168</v>
      </c>
      <c r="AB13" s="868">
        <f t="shared" si="4"/>
        <v>7257</v>
      </c>
      <c r="AC13" s="868">
        <f t="shared" si="4"/>
        <v>246</v>
      </c>
      <c r="AD13" s="868">
        <f t="shared" si="4"/>
        <v>0</v>
      </c>
      <c r="AE13" s="872">
        <f t="shared" si="4"/>
        <v>0</v>
      </c>
      <c r="AF13" s="865">
        <f t="shared" si="4"/>
        <v>0</v>
      </c>
      <c r="AG13" s="873">
        <f t="shared" si="4"/>
        <v>0</v>
      </c>
      <c r="AH13" s="870">
        <f t="shared" si="4"/>
        <v>0</v>
      </c>
      <c r="AI13" s="865">
        <f t="shared" si="4"/>
        <v>714</v>
      </c>
      <c r="AJ13" s="867">
        <f t="shared" si="4"/>
        <v>0</v>
      </c>
      <c r="AK13" s="870">
        <f>SUBTOTAL(9,AK9:AK12)</f>
        <v>0</v>
      </c>
      <c r="AL13" s="874">
        <f>IF(ISNUMBER(NºAsuntos!G13/NºAsuntos!E13),NºAsuntos!G13/NºAsuntos!E13," - ")</f>
        <v>1.0996358821582257</v>
      </c>
      <c r="AM13" s="874">
        <f>IF(ISNUMBER(((NºAsuntos!I13/NºAsuntos!G13)*11)/factor_trimestre),((NºAsuntos!I13/NºAsuntos!G13)*11)/factor_trimestre," - ")</f>
        <v>7.7944009632751348</v>
      </c>
      <c r="AN13" s="875">
        <f>IF(ISNUMBER('Resol  Asuntos'!D13/NºAsuntos!G13),'Resol  Asuntos'!D13/NºAsuntos!G13," - ")</f>
        <v>0.21493076459963878</v>
      </c>
      <c r="AO13" s="876">
        <f>IF(ISNUMBER((NºAsuntos!C13+NºAsuntos!E13)/NºAsuntos!G13),(NºAsuntos!C13+NºAsuntos!E13)/NºAsuntos!G13," - ")</f>
        <v>3.4846478025285972</v>
      </c>
      <c r="AP13" s="877" t="str">
        <f t="shared" si="2"/>
        <v xml:space="preserve"> - </v>
      </c>
      <c r="AQ13" s="877">
        <f>IF(ISNUMBER((H13-W13+K13)/(F13)),(H13-W13+K13)/(F13)," - ")</f>
        <v>-0.22346368715083798</v>
      </c>
      <c r="AR13" s="878">
        <f>IF(ISNUMBER((Datos!P13-Datos!Q13)/(Datos!R13-Datos!P13+Datos!Q13)),(Datos!P13-Datos!Q13)/(Datos!R13-Datos!P13+Datos!Q13)," - ")</f>
        <v>2.7758107916725675E-2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2513</v>
      </c>
      <c r="G15" s="333">
        <f>IF(ISNUMBER(IF(D_I="SI",Datos!I15,Datos!I15+Datos!AC15)),IF(D_I="SI",Datos!I15,Datos!I15+Datos!AC15)," - ")</f>
        <v>2486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3332</v>
      </c>
      <c r="X15" s="226">
        <f>IF(ISNUMBER(Datos!Q15),Datos!Q15," - ")</f>
        <v>36</v>
      </c>
      <c r="Y15" s="334">
        <f>SUM(W15)</f>
        <v>3332</v>
      </c>
      <c r="Z15" s="335" t="str">
        <f>IF(ISNUMBER(Datos!CC15),Datos!CC15," - ")</f>
        <v xml:space="preserve"> - </v>
      </c>
      <c r="AA15" s="332">
        <f>IF(ISNUMBER(IF(D_I="SI",Datos!L15,Datos!L15+Datos!AF15)),IF(D_I="SI",Datos!L15,Datos!L15+Datos!AF15)," - ")</f>
        <v>2404</v>
      </c>
      <c r="AB15" s="334">
        <f>IF(ISNUMBER(Datos!R15),Datos!R15," - ")</f>
        <v>157</v>
      </c>
      <c r="AC15" s="334">
        <f t="shared" ref="AC15:AC17" si="6">IF(ISNUMBER(AA15+AB15),AA15+AB15," - ")</f>
        <v>2561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285</v>
      </c>
      <c r="AJ15" s="231" t="str">
        <f>IF(ISNUMBER(Datos!BW15),Datos!BW15," - ")</f>
        <v xml:space="preserve"> - </v>
      </c>
      <c r="AK15" s="232" t="str">
        <f>IF(ISNUMBER(Datos!BX15),Datos!BX15," - ")</f>
        <v xml:space="preserve"> - </v>
      </c>
      <c r="AL15" s="243">
        <f>IF(ISNUMBER(NºAsuntos!G15/NºAsuntos!E15),NºAsuntos!G15/NºAsuntos!E15," - ")</f>
        <v>1.0338194228979212</v>
      </c>
      <c r="AM15" s="260">
        <f>IF(ISNUMBER(((NºAsuntos!I15/NºAsuntos!G15)*11)/factor_trimestre),((NºAsuntos!I15/NºAsuntos!G15)*11)/factor_trimestre," - ")</f>
        <v>2.1644657863145258</v>
      </c>
      <c r="AN15" s="244">
        <f>IF(ISNUMBER('Resol  Asuntos'!D15/NºAsuntos!G15),'Resol  Asuntos'!D15/NºAsuntos!G15," - ")</f>
        <v>8.5534213685474189E-2</v>
      </c>
      <c r="AO15" s="245">
        <f>IF(ISNUMBER((NºAsuntos!C15+NºAsuntos!E15)/NºAsuntos!G15),(NºAsuntos!C15+NºAsuntos!E15)/NºAsuntos!G15," - ")</f>
        <v>1.7133853541416566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182</v>
      </c>
      <c r="X17" s="226">
        <f>IF(ISNUMBER(Datos!Q17),Datos!Q17," - ")</f>
        <v>2</v>
      </c>
      <c r="Y17" s="334">
        <f t="shared" si="7"/>
        <v>184</v>
      </c>
      <c r="Z17" s="335" t="str">
        <f>IF(ISNUMBER(Datos!CC17),Datos!CC17," - ")</f>
        <v xml:space="preserve"> - </v>
      </c>
      <c r="AA17" s="332">
        <f>IF(ISNUMBER(Datos!L17),Datos!L17,"-")</f>
        <v>309</v>
      </c>
      <c r="AB17" s="334">
        <f>IF(ISNUMBER(Datos!R17),Datos!R17," - ")</f>
        <v>8</v>
      </c>
      <c r="AC17" s="334">
        <f t="shared" si="6"/>
        <v>317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2.4266666666666667</v>
      </c>
      <c r="AM17" s="260">
        <f>IF(ISNUMBER(((NºAsuntos!I17/NºAsuntos!G17)*11)/factor_trimestre),((NºAsuntos!I17/NºAsuntos!G17)*11)/factor_trimestre," - ")</f>
        <v>5.0934065934065931</v>
      </c>
      <c r="AN17" s="244">
        <f>IF(ISNUMBER('Resol  Asuntos'!D17/NºAsuntos!G17),'Resol  Asuntos'!D17/NºAsuntos!G17," - ")</f>
        <v>2.197802197802198E-2</v>
      </c>
      <c r="AO17" s="245">
        <f>IF(ISNUMBER((NºAsuntos!C17+NºAsuntos!E17)/NºAsuntos!G17),(NºAsuntos!C17+NºAsuntos!E17)/NºAsuntos!G17," - ")</f>
        <v>2.6923076923076925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2513</v>
      </c>
      <c r="G18" s="866">
        <f>SUBTOTAL(9,G15:G17)</f>
        <v>2901</v>
      </c>
      <c r="H18" s="865">
        <f t="shared" ref="H18:O18" si="10">SUBTOTAL(9,H14:H17)</f>
        <v>0</v>
      </c>
      <c r="I18" s="867">
        <f t="shared" si="10"/>
        <v>0</v>
      </c>
      <c r="J18" s="867">
        <f t="shared" si="10"/>
        <v>0</v>
      </c>
      <c r="K18" s="867">
        <f t="shared" si="10"/>
        <v>0</v>
      </c>
      <c r="L18" s="867">
        <f t="shared" si="10"/>
        <v>43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3514</v>
      </c>
      <c r="X18" s="867">
        <f t="shared" si="11"/>
        <v>38</v>
      </c>
      <c r="Y18" s="868">
        <f t="shared" si="11"/>
        <v>3516</v>
      </c>
      <c r="Z18" s="868">
        <f t="shared" si="11"/>
        <v>0</v>
      </c>
      <c r="AA18" s="868">
        <f t="shared" si="11"/>
        <v>2713</v>
      </c>
      <c r="AB18" s="868">
        <f t="shared" si="11"/>
        <v>165</v>
      </c>
      <c r="AC18" s="868">
        <f t="shared" si="11"/>
        <v>2878</v>
      </c>
      <c r="AD18" s="868">
        <f t="shared" si="11"/>
        <v>0</v>
      </c>
      <c r="AE18" s="872">
        <f t="shared" si="11"/>
        <v>0</v>
      </c>
      <c r="AF18" s="865">
        <f t="shared" si="11"/>
        <v>0</v>
      </c>
      <c r="AG18" s="873">
        <f t="shared" si="11"/>
        <v>0</v>
      </c>
      <c r="AH18" s="870">
        <f t="shared" si="11"/>
        <v>0</v>
      </c>
      <c r="AI18" s="865">
        <f t="shared" si="11"/>
        <v>289</v>
      </c>
      <c r="AJ18" s="867">
        <f t="shared" si="11"/>
        <v>0</v>
      </c>
      <c r="AK18" s="870">
        <f t="shared" si="11"/>
        <v>0</v>
      </c>
      <c r="AL18" s="874">
        <f>IF(ISNUMBER(NºAsuntos!G18/NºAsuntos!E18),NºAsuntos!G18/NºAsuntos!E18," - ")</f>
        <v>1.0654942389326865</v>
      </c>
      <c r="AM18" s="874">
        <f>IF(ISNUMBER(((NºAsuntos!I18/NºAsuntos!G18)*11)/factor_trimestre),((NºAsuntos!I18/NºAsuntos!G18)*11)/factor_trimestre," - ")</f>
        <v>2.3161639157655096</v>
      </c>
      <c r="AN18" s="875">
        <f>IF(ISNUMBER('Resol  Asuntos'!D18/NºAsuntos!G18),'Resol  Asuntos'!D18/NºAsuntos!G18," - ")</f>
        <v>8.2242458736482643E-2</v>
      </c>
      <c r="AO18" s="876">
        <f>IF(ISNUMBER((NºAsuntos!C18+NºAsuntos!E18)/NºAsuntos!G18),(NºAsuntos!C18+NºAsuntos!E18)/NºAsuntos!G18," - ")</f>
        <v>1.7640865110984634</v>
      </c>
      <c r="AP18" s="877" t="str">
        <f t="shared" si="2"/>
        <v xml:space="preserve"> - </v>
      </c>
      <c r="AQ18" s="877">
        <f>IF(ISNUMBER((H18-W18+K18)/(F18)),(H18-W18+K18)/(F18)," - ")</f>
        <v>-1.3983286908077994</v>
      </c>
      <c r="AR18" s="878">
        <f>IF(ISNUMBER((Datos!P18-Datos!Q18)/(Datos!R18-Datos!P18+Datos!Q18)),(Datos!P18-Datos!Q18)/(Datos!R18-Datos!P18+Datos!Q18)," - ")</f>
        <v>3.125E-2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2692</v>
      </c>
      <c r="G19" s="821">
        <f t="shared" si="13"/>
        <v>3080</v>
      </c>
      <c r="H19" s="820">
        <f t="shared" si="13"/>
        <v>0</v>
      </c>
      <c r="I19" s="822">
        <f t="shared" si="13"/>
        <v>0</v>
      </c>
      <c r="J19" s="822">
        <f t="shared" si="13"/>
        <v>0</v>
      </c>
      <c r="K19" s="881">
        <f t="shared" si="13"/>
        <v>0</v>
      </c>
      <c r="L19" s="822">
        <f t="shared" si="13"/>
        <v>573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3554</v>
      </c>
      <c r="X19" s="821">
        <f t="shared" si="14"/>
        <v>372</v>
      </c>
      <c r="Y19" s="828">
        <f t="shared" si="14"/>
        <v>3890</v>
      </c>
      <c r="Z19" s="828">
        <f t="shared" si="14"/>
        <v>0</v>
      </c>
      <c r="AA19" s="828">
        <f t="shared" si="14"/>
        <v>2881</v>
      </c>
      <c r="AB19" s="828">
        <f t="shared" si="14"/>
        <v>7422</v>
      </c>
      <c r="AC19" s="828">
        <f t="shared" si="14"/>
        <v>3124</v>
      </c>
      <c r="AD19" s="828">
        <f t="shared" si="14"/>
        <v>0</v>
      </c>
      <c r="AE19" s="830">
        <f t="shared" si="14"/>
        <v>0</v>
      </c>
      <c r="AF19" s="831">
        <f t="shared" si="14"/>
        <v>0</v>
      </c>
      <c r="AG19" s="832">
        <f t="shared" si="14"/>
        <v>0</v>
      </c>
      <c r="AH19" s="830">
        <f t="shared" si="14"/>
        <v>0</v>
      </c>
      <c r="AI19" s="820">
        <f t="shared" si="14"/>
        <v>1003</v>
      </c>
      <c r="AJ19" s="820">
        <f t="shared" si="14"/>
        <v>0</v>
      </c>
      <c r="AK19" s="830">
        <f t="shared" si="14"/>
        <v>0</v>
      </c>
      <c r="AL19" s="884">
        <f>IF(ISNUMBER(NºAsuntos!G19/NºAsuntos!E19),NºAsuntos!G19/NºAsuntos!E19," - ")</f>
        <v>1.0818167431555625</v>
      </c>
      <c r="AM19" s="885">
        <f>IF(ISNUMBER(((NºAsuntos!I19/NºAsuntos!G19)*11)/factor_trimestre),((NºAsuntos!I19/NºAsuntos!G19)*11)/factor_trimestre," - ")</f>
        <v>4.9783499122293744</v>
      </c>
      <c r="AN19" s="885">
        <f>IF(ISNUMBER('Resol  Asuntos'!D19/NºAsuntos!G19),'Resol  Asuntos'!D19/NºAsuntos!G19," - ")</f>
        <v>0.14672322995904039</v>
      </c>
      <c r="AO19" s="886">
        <f>IF(ISNUMBER((NºAsuntos!C19+NºAsuntos!E19)/NºAsuntos!G19),(NºAsuntos!C19+NºAsuntos!E19)/NºAsuntos!G19," - ")</f>
        <v>2.6002047981275598</v>
      </c>
      <c r="AP19" s="887" t="str">
        <f t="shared" si="2"/>
        <v xml:space="preserve"> - </v>
      </c>
      <c r="AQ19" s="888">
        <f>IF(OR(ISNUMBER(FIND("01",Criterios!A8,1)),ISNUMBER(FIND("02",Criterios!A8,1)),ISNUMBER(FIND("03",Criterios!A8,1)),ISNUMBER(FIND("04",Criterios!A8,1))),(I19-W19+K19)/(F19-K19),(H19-W19+K19)/(F19-K19))</f>
        <v>-1.3202080237741456</v>
      </c>
      <c r="AR19" s="889">
        <f>IF(ISNUMBER((Datos!P19-Datos!Q19)/(Datos!R19-Datos!P19+Datos!Q19)),(Datos!P19-Datos!Q19)/(Datos!R19-Datos!P19+Datos!Q19)," - ")</f>
        <v>2.7835479850436228E-2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1347.5355282885866</v>
      </c>
      <c r="G21" s="253">
        <f>IF(ISNUMBER(STDEV(G8:G18)),STDEV(G8:G18),"-")</f>
        <v>1345.6582032596539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1829.0715677632736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316.54109791094533</v>
      </c>
      <c r="AJ21" s="252">
        <f t="shared" si="18"/>
        <v>0</v>
      </c>
      <c r="AK21" s="254">
        <f t="shared" si="18"/>
        <v>0</v>
      </c>
      <c r="AL21" s="249">
        <f t="shared" si="18"/>
        <v>0.54179560737309662</v>
      </c>
      <c r="AM21" s="250">
        <f t="shared" si="18"/>
        <v>3.9601207216663141</v>
      </c>
      <c r="AN21" s="250">
        <f t="shared" si="18"/>
        <v>8.7936500269832601E-2</v>
      </c>
      <c r="AO21" s="251">
        <f t="shared" si="18"/>
        <v>1.3077157047278096</v>
      </c>
      <c r="AP21" s="291" t="str">
        <f t="shared" si="18"/>
        <v>-</v>
      </c>
      <c r="AQ21" s="292">
        <f t="shared" si="18"/>
        <v>0.83075501106459537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sU9rvASbsXLBaOrXrQ8iBgEr7QUw9oTVsm3BpUtbuJi8uwX9WBHsIj29+1byJJCd9agwZk/OxmWWWZpd72PBTw==" saltValue="Z1LkE9qJxzTAsjNe1Lxw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TORREMOLINOS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0.41</v>
      </c>
      <c r="I9" s="350">
        <f>IF(ISNUMBER((Tasas!C9-Datos!BE9)/Datos!BE9),(Tasas!C9-Datos!BE9)/Datos!BE9," - ")</f>
        <v>-0.21853167273077612</v>
      </c>
      <c r="J9" s="349">
        <f>IF(ISNUMBER((Tasas!D9-Datos!BF9)/Datos!BF9),(Tasas!D9-Datos!BF9)/Datos!BF9," - ")</f>
        <v>-0.52624248656584127</v>
      </c>
      <c r="K9" s="351">
        <f>IF(ISNUMBER((Tasas!E9-Datos!BG9)/Datos!BG9),(Tasas!E9-Datos!BG9)/Datos!BG9," - ")</f>
        <v>-0.19442238513856344</v>
      </c>
      <c r="M9" t="e">
        <f>IF(Monitorios="SI",Datos!CE9,0)</f>
        <v>#REF!</v>
      </c>
      <c r="N9" t="e">
        <f>IF(Monitorios="SI",Datos!CF9,0)</f>
        <v>#REF!</v>
      </c>
      <c r="O9" t="e">
        <f>IF(Monitorios="SI",Datos!CG9,0)</f>
        <v>#REF!</v>
      </c>
      <c r="P9" t="e">
        <f>IF(Monitorios="SI",Datos!CH9,0)</f>
        <v>#REF!</v>
      </c>
      <c r="Q9">
        <f>IF(J_V="SI",0,Datos!AG9)</f>
        <v>126</v>
      </c>
      <c r="R9">
        <f>IF(J_V="SI",0,Datos!AH9)</f>
        <v>124</v>
      </c>
      <c r="S9">
        <f>IF(J_V="SI",0,Datos!AI9)</f>
        <v>118</v>
      </c>
      <c r="T9">
        <f>IF(J_V="SI",0,Datos!AJ9)</f>
        <v>132</v>
      </c>
    </row>
    <row r="10" spans="2:20" ht="14.25">
      <c r="B10" s="275" t="s">
        <v>246</v>
      </c>
      <c r="C10" s="7" t="str">
        <f>Datos!A10</f>
        <v>Jdos. Violencia contra la mujer</v>
      </c>
      <c r="D10" s="352">
        <f>IF(ISNUMBER((Datos!I10-Datos!S10)/Datos!S10),(Datos!I10-Datos!S10)/Datos!S10," - ")</f>
        <v>9.815950920245399E-2</v>
      </c>
      <c r="E10" s="348">
        <f>IF(ISNUMBER((Datos!J10-Datos!T10)/Datos!T10),(Datos!J10-Datos!T10)/Datos!T10," - ")</f>
        <v>-0.39583333333333331</v>
      </c>
      <c r="F10" s="348">
        <f>IF(ISNUMBER((Datos!K10-Datos!U10)/Datos!U10),(Datos!K10-Datos!U10)/Datos!U10," - ")</f>
        <v>1.8571428571428572</v>
      </c>
      <c r="G10" s="349">
        <f>IF(ISNUMBER((Datos!L10-Datos!V10)/Datos!V10),(Datos!L10-Datos!V10)/Datos!V10," - ")</f>
        <v>-0.14720812182741116</v>
      </c>
      <c r="H10" s="230">
        <f>IF(ISNUMBER((Datos!M10-Datos!W10)/Datos!W10),(Datos!M10-Datos!W10)/Datos!W10," - ")</f>
        <v>3.5</v>
      </c>
      <c r="I10" s="350">
        <f>IF(ISNUMBER((Tasas!C10-Datos!BE10)/Datos!BE10),(Tasas!C10-Datos!BE10)/Datos!BE10," - ")</f>
        <v>-0.70152284263959386</v>
      </c>
      <c r="J10" s="349">
        <f>IF(ISNUMBER((Tasas!D10-Datos!BF10)/Datos!BF10),(Tasas!D10-Datos!BF10)/Datos!BF10," - ")</f>
        <v>0.57500000000000018</v>
      </c>
      <c r="K10" s="351">
        <f>IF(ISNUMBER((Tasas!E10-Datos!BG10)/Datos!BG10),(Tasas!E10-Datos!BG10)/Datos!BG10," - ")</f>
        <v>-0.65497630331753542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0.42231075697211157</v>
      </c>
      <c r="I13" s="357">
        <f>IF(ISNUMBER((Tasas!C13-Datos!BE13)/Datos!BE13),(Tasas!C13-Datos!BE13)/Datos!BE13," - ")</f>
        <v>-0.22767988425299662</v>
      </c>
      <c r="J13" s="355">
        <f>IF(ISNUMBER((Tasas!D13-Datos!BF13)/Datos!BF13),(Tasas!D13-Datos!BF13)/Datos!BF13," - ")</f>
        <v>-0.52402383605202862</v>
      </c>
      <c r="K13" s="358">
        <f>IF(ISNUMBER((Tasas!E13-Datos!BG13)/Datos!BG13),(Tasas!E13-Datos!BG13)/Datos!BG13," - ")</f>
        <v>-0.20151297786557434</v>
      </c>
      <c r="M13" t="e">
        <f>IF(Monitorios="SI",Datos!CE13,0)</f>
        <v>#REF!</v>
      </c>
      <c r="N13" t="e">
        <f>IF(Monitorios="SI",Datos!CF13,0)</f>
        <v>#REF!</v>
      </c>
      <c r="O13" t="e">
        <f>IF(Monitorios="SI",Datos!CG13,0)</f>
        <v>#REF!</v>
      </c>
      <c r="P13" t="e">
        <f>IF(Monitorios="SI",Datos!CH13,0)</f>
        <v>#REF!</v>
      </c>
      <c r="Q13">
        <f>IF(J_V="SI",0,Datos!AG13)</f>
        <v>126</v>
      </c>
      <c r="R13">
        <f>IF(J_V="SI",0,Datos!AH13)</f>
        <v>124</v>
      </c>
      <c r="S13">
        <f>IF(J_V="SI",0,Datos!AI13)</f>
        <v>118</v>
      </c>
      <c r="T13">
        <f>IF(J_V="SI",0,Datos!AJ13)</f>
        <v>132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0.2097323600973236</v>
      </c>
      <c r="E15" s="348">
        <f>IF(ISNUMBER(
   IF(D_I="SI",(Datos!J15-Datos!T15)/Datos!T15,(Datos!J15+Datos!AD15-(Datos!T15+Datos!AL15))/(Datos!T15+Datos!AL15))
     ),IF(D_I="SI",(Datos!J15-Datos!T15)/Datos!T15,(Datos!J15+Datos!AD15-(Datos!T15+Datos!AL15))/(Datos!T15+Datos!AL15))," - ")</f>
        <v>-7.3914382506929475E-3</v>
      </c>
      <c r="F15" s="348">
        <f>IF(ISNUMBER(
   IF(D_I="SI",(Datos!K15-Datos!U15)/Datos!U15,(Datos!K15+Datos!AE15-(Datos!U15+Datos!AM15))/(Datos!U15+Datos!AM15))
     ),IF(D_I="SI",(Datos!K15-Datos!U15)/Datos!U15,(Datos!K15+Datos!AE15-(Datos!U15+Datos!AM15))/(Datos!U15+Datos!AM15))," - ")</f>
        <v>0.21561473914629697</v>
      </c>
      <c r="G15" s="349">
        <f>IF(ISNUMBER(
   IF(D_I="SI",(Datos!L15-Datos!V15)/Datos!V15,(Datos!L15+Datos!AF15-(Datos!V15+Datos!AN15))/(Datos!V15+Datos!AN15))
     ),IF(D_I="SI",(Datos!L15-Datos!V15)/Datos!V15,(Datos!L15+Datos!AF15-(Datos!V15+Datos!AN15))/(Datos!V15+Datos!AN15))," - ")</f>
        <v>-6.8938807126258717E-2</v>
      </c>
      <c r="H15" s="230">
        <f>IF(ISNUMBER((Datos!M15-Datos!W15)/Datos!W15),(Datos!M15-Datos!W15)/Datos!W15," - ")</f>
        <v>-0.1467065868263473</v>
      </c>
      <c r="I15" s="350">
        <f>IF(ISNUMBER((Tasas!C15-Datos!BE15)/Datos!BE15),(Tasas!C15-Datos!BE15)/Datos!BE15," - ")</f>
        <v>-0.2340820139054848</v>
      </c>
      <c r="J15" s="349">
        <f>IF(ISNUMBER((Tasas!D15-Datos!BF15)/Datos!BF15),(Tasas!D15-Datos!BF15)/Datos!BF15," - ")</f>
        <v>-0.29805604876681213</v>
      </c>
      <c r="K15" s="351">
        <f>IF(ISNUMBER((Tasas!E15-Datos!BG15)/Datos!BG15),(Tasas!E15-Datos!BG15)/Datos!BG15," - ")</f>
        <v>-0.11422307512216509</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-0.15821501014198783</v>
      </c>
      <c r="E17" s="348">
        <f>IF(ISNUMBER(
   IF(D_I="SI",(Datos!J17-Datos!T17)/Datos!T17,(Datos!J17+Datos!AD17-(Datos!T17+Datos!AL17))/(Datos!T17+Datos!AL17))
     ),IF(D_I="SI",(Datos!J17-Datos!T17)/Datos!T17,(Datos!J17+Datos!AD17-(Datos!T17+Datos!AL17))/(Datos!T17+Datos!AL17))," - ")</f>
        <v>-0.69512195121951215</v>
      </c>
      <c r="F17" s="348">
        <f>IF(ISNUMBER(
   IF(D_I="SI",(Datos!K17-Datos!U17)/Datos!U17,(Datos!K17+Datos!AE17-(Datos!U17+Datos!AM17))/(Datos!U17+Datos!AM17))
     ),IF(D_I="SI",(Datos!K17-Datos!U17)/Datos!U17,(Datos!K17+Datos!AE17-(Datos!U17+Datos!AM17))/(Datos!U17+Datos!AM17))," - ")</f>
        <v>-0.18385650224215247</v>
      </c>
      <c r="G17" s="349">
        <f>IF(ISNUMBER(
   IF(D_I="SI",(Datos!L17-Datos!V17)/Datos!V17,(Datos!L17+Datos!AF17-(Datos!V17+Datos!AN17))/(Datos!V17+Datos!AN17))
     ),IF(D_I="SI",(Datos!L17-Datos!V17)/Datos!V17,(Datos!L17+Datos!AF17-(Datos!V17+Datos!AN17))/(Datos!V17+Datos!AN17))," - ")</f>
        <v>-0.40116279069767441</v>
      </c>
      <c r="H17" s="230">
        <f>IF(ISNUMBER((Datos!M17-Datos!W17)/Datos!W17),(Datos!M17-Datos!W17)/Datos!W17," - ")</f>
        <v>-0.8</v>
      </c>
      <c r="I17" s="350">
        <f>IF(ISNUMBER((Tasas!C17-Datos!BE17)/Datos!BE17),(Tasas!C17-Datos!BE17)/Datos!BE17," - ")</f>
        <v>-0.26625990288780987</v>
      </c>
      <c r="J17" s="349">
        <f>IF(ISNUMBER((Tasas!D17-Datos!BF17)/Datos!BF17),(Tasas!D17-Datos!BF17)/Datos!BF17," - ")</f>
        <v>-0.75494505494505493</v>
      </c>
      <c r="K17" s="351">
        <f>IF(ISNUMBER((Tasas!E17-Datos!BG17)/Datos!BG17),(Tasas!E17-Datos!BG17)/Datos!BG17," - ")</f>
        <v>-0.18757156240241485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0.13854003139717425</v>
      </c>
      <c r="E18" s="354">
        <f>IF(ISNUMBER(
   IF(D_I="SI",(Datos!J18-Datos!T18)/Datos!T18,(Datos!J18+Datos!AD18-(Datos!T18+Datos!AL18))/(Datos!T18+Datos!AL18))
     ),IF(D_I="SI",(Datos!J18-Datos!T18)/Datos!T18,(Datos!J18+Datos!AD18-(Datos!T18+Datos!AL18))/(Datos!T18+Datos!AL18))," - ")</f>
        <v>-5.5825937589464643E-2</v>
      </c>
      <c r="F18" s="354">
        <f>IF(ISNUMBER(
   IF(D_I="SI",(Datos!K18-Datos!U18)/Datos!U18,(Datos!K18+Datos!AE18-(Datos!U18+Datos!AM18))/(Datos!U18+Datos!AM18))
     ),IF(D_I="SI",(Datos!K18-Datos!U18)/Datos!U18,(Datos!K18+Datos!AE18-(Datos!U18+Datos!AM18))/(Datos!U18+Datos!AM18))," - ")</f>
        <v>0.18556005398110662</v>
      </c>
      <c r="G18" s="355">
        <f>IF(ISNUMBER(
   IF(D_I="SI",(Datos!L18-Datos!V18)/Datos!V18,(Datos!L18+Datos!AF18-(Datos!V18+Datos!AN18))/(Datos!V18+Datos!AN18))
     ),IF(D_I="SI",(Datos!L18-Datos!V18)/Datos!V18,(Datos!L18+Datos!AF18-(Datos!V18+Datos!AN18))/(Datos!V18+Datos!AN18))," - ")</f>
        <v>-0.12427372498386055</v>
      </c>
      <c r="H18" s="356">
        <f>IF(ISNUMBER((Datos!M18-Datos!W18)/Datos!W18),(Datos!M18-Datos!W18)/Datos!W18," - ")</f>
        <v>-0.18361581920903955</v>
      </c>
      <c r="I18" s="357">
        <f>IF(ISNUMBER((Tasas!C18-Datos!BE18)/Datos!BE18),(Tasas!C18-Datos!BE18)/Datos!BE18," - ")</f>
        <v>-0.2613395904530913</v>
      </c>
      <c r="J18" s="355">
        <f>IF(ISNUMBER((Tasas!D18-Datos!BF18)/Datos!BF18),(Tasas!D18-Datos!BF18)/Datos!BF18," - ")</f>
        <v>-0.31139365057928092</v>
      </c>
      <c r="K18" s="358">
        <f>IF(ISNUMBER((Tasas!E18-Datos!BG18)/Datos!BG18),(Tasas!E18-Datos!BG18)/Datos!BG18," - ")</f>
        <v>-0.13445581544515051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0.13729772659585029</v>
      </c>
      <c r="E19" s="363">
        <f>IF(ISNUMBER(
   IF(J_V="SI",(Datos!J19-Datos!T19)/Datos!T19,(Datos!J19+Datos!Z19-(Datos!T19+Datos!AH19))/(Datos!T19+Datos!AH19))
     ),IF(J_V="SI",(Datos!J19-Datos!T19)/Datos!T19,(Datos!J19+Datos!Z19-(Datos!T19+Datos!AH19))/(Datos!T19+Datos!AH19))," - ")</f>
        <v>2.0345551429032778E-2</v>
      </c>
      <c r="F19" s="363">
        <f>IF(ISNUMBER(
   IF(J_V="SI",(Datos!K19-Datos!U19)/Datos!U19,(Datos!K19+Datos!AA19-(Datos!U19+Datos!AI19))/(Datos!U19+Datos!AI19))
     ),IF(J_V="SI",(Datos!K19-Datos!U19)/Datos!U19,(Datos!K19+Datos!AA19-(Datos!U19+Datos!AI19))/(Datos!U19+Datos!AI19))," - ")</f>
        <v>0.28811004333898627</v>
      </c>
      <c r="G19" s="364">
        <f>IF(ISNUMBER(
   IF(J_V="SI",(Datos!L19-Datos!V19)/Datos!V19,(Datos!L19+Datos!AB19-(Datos!V19+Datos!AJ19))/(Datos!V19+Datos!AJ19))
     ),IF(J_V="SI",(Datos!L19-Datos!V19)/Datos!V19,(Datos!L19+Datos!AB19-(Datos!V19+Datos!AJ19))/(Datos!V19+Datos!AJ19))," - ")</f>
        <v>3.3151183970856105E-2</v>
      </c>
      <c r="H19" s="365">
        <f>IF(ISNUMBER((Datos!M19-Datos!W19)/Datos!W19),(Datos!M19-Datos!W19)/Datos!W19," - ")</f>
        <v>0.17172897196261683</v>
      </c>
      <c r="I19" s="362">
        <f>IF(ISNUMBER((Tasas!C19-Datos!BE19)/Datos!BE19),(Tasas!C19-Datos!BE19)/Datos!BE19," - ")</f>
        <v>-0.19793251414082311</v>
      </c>
      <c r="J19" s="363">
        <f>IF(ISNUMBER((Tasas!D19-Datos!BF19)/Datos!BF19),(Tasas!D19-Datos!BF19)/Datos!BF19," - ")</f>
        <v>-0.44854094802221856</v>
      </c>
      <c r="K19" s="364">
        <f>IF(ISNUMBER((Tasas!E19-Datos!BG19)/Datos!BG19),(Tasas!E19-Datos!BG19)/Datos!BG19," - ")</f>
        <v>-0.15164841610334687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0.16029248043532424</v>
      </c>
      <c r="E21" s="278">
        <f t="shared" si="1"/>
        <v>0.32146596036101577</v>
      </c>
      <c r="F21" s="278">
        <f t="shared" si="1"/>
        <v>0.91065137693750586</v>
      </c>
      <c r="G21" s="279">
        <f t="shared" si="1"/>
        <v>0.14754867251453191</v>
      </c>
      <c r="H21" s="285">
        <f t="shared" si="1"/>
        <v>1.5220312568328322</v>
      </c>
      <c r="I21" s="277">
        <f t="shared" si="1"/>
        <v>0.18871713021448883</v>
      </c>
      <c r="J21" s="278">
        <f t="shared" si="1"/>
        <v>0.46343149919894522</v>
      </c>
      <c r="K21" s="279">
        <f t="shared" si="1"/>
        <v>0.20253461039649873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Jyaw2Za63vNuruRHNLFkUGzCrMZAOK5UQcJF89dcdHEKPM/ItFBa9sHvVdvgYX8U5mJMh5jRFOscSThbVU68Q==" saltValue="EOiyu9OZuc/are4uEQcT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